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460" windowHeight="9120" tabRatio="598" firstSheet="4" activeTab="4"/>
  </bookViews>
  <sheets>
    <sheet name="Int.(30x30)" sheetId="1" r:id="rId1"/>
    <sheet name="Int.(35x35)" sheetId="2" r:id="rId2"/>
    <sheet name="Int.(40x40)" sheetId="3" r:id="rId3"/>
    <sheet name="Int.(45x45)" sheetId="4" r:id="rId4"/>
    <sheet name="Est.(30x30) 1°" sheetId="5" r:id="rId5"/>
    <sheet name="Est.(30x30) 2°" sheetId="6" r:id="rId6"/>
    <sheet name="Est.(35x35)" sheetId="7" r:id="rId7"/>
    <sheet name="Est. (40x40)" sheetId="8" r:id="rId8"/>
    <sheet name="Est.(45x45)" sheetId="9" r:id="rId9"/>
  </sheets>
  <definedNames/>
  <calcPr fullCalcOnLoad="1"/>
</workbook>
</file>

<file path=xl/sharedStrings.xml><?xml version="1.0" encoding="utf-8"?>
<sst xmlns="http://schemas.openxmlformats.org/spreadsheetml/2006/main" count="465" uniqueCount="71">
  <si>
    <t>b</t>
  </si>
  <si>
    <t>h</t>
  </si>
  <si>
    <r>
      <t>A</t>
    </r>
    <r>
      <rPr>
        <vertAlign val="subscript"/>
        <sz val="10"/>
        <rFont val="Arial"/>
        <family val="2"/>
      </rPr>
      <t>s</t>
    </r>
  </si>
  <si>
    <t>d</t>
  </si>
  <si>
    <t>d'</t>
  </si>
  <si>
    <t>x</t>
  </si>
  <si>
    <t>Caratteristiche della sezione</t>
  </si>
  <si>
    <t>Caratteristiche dei materiali</t>
  </si>
  <si>
    <r>
      <t>N</t>
    </r>
    <r>
      <rPr>
        <vertAlign val="subscript"/>
        <sz val="10"/>
        <rFont val="Arial"/>
        <family val="2"/>
      </rPr>
      <t>d</t>
    </r>
  </si>
  <si>
    <r>
      <t>M</t>
    </r>
    <r>
      <rPr>
        <vertAlign val="subscript"/>
        <sz val="10"/>
        <rFont val="Arial"/>
        <family val="2"/>
      </rPr>
      <t>d</t>
    </r>
  </si>
  <si>
    <t>x/d</t>
  </si>
  <si>
    <t>(valori in "mm")</t>
  </si>
  <si>
    <t>(valori adimensionali)</t>
  </si>
  <si>
    <t>2b</t>
  </si>
  <si>
    <t>2a</t>
  </si>
  <si>
    <t>Stato di sollecitazione della sezione in esame</t>
  </si>
  <si>
    <r>
      <t>(valori in "N/</t>
    </r>
    <r>
      <rPr>
        <sz val="10"/>
        <rFont val="Arial"/>
        <family val="2"/>
      </rPr>
      <t>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")</t>
    </r>
  </si>
  <si>
    <r>
      <t>(in "N/mm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")</t>
    </r>
  </si>
  <si>
    <r>
      <t>A'</t>
    </r>
    <r>
      <rPr>
        <vertAlign val="subscript"/>
        <sz val="10"/>
        <rFont val="Arial"/>
        <family val="2"/>
      </rPr>
      <t>s</t>
    </r>
  </si>
  <si>
    <r>
      <t>f</t>
    </r>
    <r>
      <rPr>
        <vertAlign val="subscript"/>
        <sz val="12"/>
        <rFont val="Arial"/>
        <family val="2"/>
      </rPr>
      <t>cd</t>
    </r>
  </si>
  <si>
    <r>
      <t>R</t>
    </r>
    <r>
      <rPr>
        <vertAlign val="subscript"/>
        <sz val="12"/>
        <rFont val="Arial"/>
        <family val="2"/>
      </rPr>
      <t>ck</t>
    </r>
  </si>
  <si>
    <r>
      <t>f'</t>
    </r>
    <r>
      <rPr>
        <vertAlign val="subscript"/>
        <sz val="12"/>
        <rFont val="Arial"/>
        <family val="2"/>
      </rPr>
      <t>yd</t>
    </r>
  </si>
  <si>
    <r>
      <t>f</t>
    </r>
    <r>
      <rPr>
        <vertAlign val="subscript"/>
        <sz val="12"/>
        <rFont val="Arial"/>
        <family val="2"/>
      </rPr>
      <t>yd</t>
    </r>
  </si>
  <si>
    <r>
      <t>f</t>
    </r>
    <r>
      <rPr>
        <vertAlign val="subscript"/>
        <sz val="12"/>
        <rFont val="Arial"/>
        <family val="2"/>
      </rPr>
      <t>yk</t>
    </r>
  </si>
  <si>
    <r>
      <t>e</t>
    </r>
    <r>
      <rPr>
        <vertAlign val="subscript"/>
        <sz val="12"/>
        <rFont val="Arial"/>
        <family val="2"/>
      </rPr>
      <t>cu</t>
    </r>
  </si>
  <si>
    <r>
      <t>e</t>
    </r>
    <r>
      <rPr>
        <vertAlign val="subscript"/>
        <sz val="12"/>
        <rFont val="Arial"/>
        <family val="2"/>
      </rPr>
      <t>ce</t>
    </r>
  </si>
  <si>
    <r>
      <t>e'</t>
    </r>
    <r>
      <rPr>
        <vertAlign val="subscript"/>
        <sz val="12"/>
        <rFont val="Arial"/>
        <family val="2"/>
      </rPr>
      <t>su</t>
    </r>
  </si>
  <si>
    <r>
      <t>e'</t>
    </r>
    <r>
      <rPr>
        <vertAlign val="subscript"/>
        <sz val="12"/>
        <rFont val="Arial"/>
        <family val="2"/>
      </rPr>
      <t>se</t>
    </r>
  </si>
  <si>
    <r>
      <t>e</t>
    </r>
    <r>
      <rPr>
        <vertAlign val="subscript"/>
        <sz val="12"/>
        <rFont val="Arial"/>
        <family val="2"/>
      </rPr>
      <t>su</t>
    </r>
  </si>
  <si>
    <r>
      <t>e</t>
    </r>
    <r>
      <rPr>
        <vertAlign val="subscript"/>
        <sz val="12"/>
        <rFont val="Arial"/>
        <family val="2"/>
      </rPr>
      <t>se</t>
    </r>
  </si>
  <si>
    <r>
      <t>E</t>
    </r>
    <r>
      <rPr>
        <vertAlign val="subscript"/>
        <sz val="12"/>
        <rFont val="Arial"/>
        <family val="2"/>
      </rPr>
      <t>s</t>
    </r>
  </si>
  <si>
    <r>
      <t>(in "mm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")</t>
    </r>
  </si>
  <si>
    <t>d''</t>
  </si>
  <si>
    <r>
      <t>e</t>
    </r>
    <r>
      <rPr>
        <vertAlign val="subscript"/>
        <sz val="12"/>
        <rFont val="Arial"/>
        <family val="2"/>
      </rPr>
      <t>c</t>
    </r>
  </si>
  <si>
    <r>
      <t>N</t>
    </r>
    <r>
      <rPr>
        <vertAlign val="subscript"/>
        <sz val="12"/>
        <rFont val="Arial"/>
        <family val="2"/>
      </rPr>
      <t>d</t>
    </r>
  </si>
  <si>
    <r>
      <t>M</t>
    </r>
    <r>
      <rPr>
        <vertAlign val="subscript"/>
        <sz val="12"/>
        <rFont val="Arial"/>
        <family val="2"/>
      </rPr>
      <t>d</t>
    </r>
  </si>
  <si>
    <r>
      <t>s</t>
    </r>
    <r>
      <rPr>
        <vertAlign val="subscript"/>
        <sz val="12"/>
        <rFont val="Arial"/>
        <family val="2"/>
      </rPr>
      <t>c</t>
    </r>
  </si>
  <si>
    <r>
      <t>s</t>
    </r>
    <r>
      <rPr>
        <vertAlign val="subscript"/>
        <sz val="12"/>
        <rFont val="Arial"/>
        <family val="2"/>
      </rPr>
      <t>s</t>
    </r>
  </si>
  <si>
    <r>
      <t>s'</t>
    </r>
    <r>
      <rPr>
        <vertAlign val="subscript"/>
        <sz val="12"/>
        <rFont val="Arial"/>
        <family val="2"/>
      </rPr>
      <t>s</t>
    </r>
  </si>
  <si>
    <r>
      <t>e'</t>
    </r>
    <r>
      <rPr>
        <vertAlign val="subscript"/>
        <sz val="12"/>
        <rFont val="Arial"/>
        <family val="2"/>
      </rPr>
      <t>s</t>
    </r>
  </si>
  <si>
    <r>
      <t>e</t>
    </r>
    <r>
      <rPr>
        <vertAlign val="subscript"/>
        <sz val="12"/>
        <rFont val="Arial"/>
        <family val="2"/>
      </rPr>
      <t>s</t>
    </r>
  </si>
  <si>
    <t>e =</t>
  </si>
  <si>
    <t>valtazione di</t>
  </si>
  <si>
    <r>
      <t>N</t>
    </r>
    <r>
      <rPr>
        <vertAlign val="subscript"/>
        <sz val="10"/>
        <rFont val="Arial"/>
        <family val="2"/>
      </rPr>
      <t>max</t>
    </r>
  </si>
  <si>
    <t>Prescrizioni della normativa in merito alla sicurezza:</t>
  </si>
  <si>
    <r>
      <t>A'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=0 caso non preso in considerazione</t>
    </r>
  </si>
  <si>
    <t>valutazione della snellezza fatta in relazione</t>
  </si>
  <si>
    <r>
      <t>E</t>
    </r>
    <r>
      <rPr>
        <vertAlign val="subscript"/>
        <sz val="10"/>
        <rFont val="Arial"/>
        <family val="2"/>
      </rPr>
      <t>2-5</t>
    </r>
  </si>
  <si>
    <r>
      <t>E</t>
    </r>
    <r>
      <rPr>
        <vertAlign val="subscript"/>
        <sz val="10"/>
        <rFont val="Arial"/>
        <family val="2"/>
      </rPr>
      <t>5-2</t>
    </r>
  </si>
  <si>
    <r>
      <t>E</t>
    </r>
    <r>
      <rPr>
        <vertAlign val="subscript"/>
        <sz val="10"/>
        <rFont val="Arial"/>
        <family val="2"/>
      </rPr>
      <t>5-8</t>
    </r>
  </si>
  <si>
    <r>
      <t>E</t>
    </r>
    <r>
      <rPr>
        <vertAlign val="subscript"/>
        <sz val="10"/>
        <rFont val="Arial"/>
        <family val="2"/>
      </rPr>
      <t>8-5</t>
    </r>
  </si>
  <si>
    <r>
      <t>E</t>
    </r>
    <r>
      <rPr>
        <vertAlign val="subscript"/>
        <sz val="10"/>
        <rFont val="Arial"/>
        <family val="2"/>
      </rPr>
      <t>8-11</t>
    </r>
  </si>
  <si>
    <r>
      <t>E</t>
    </r>
    <r>
      <rPr>
        <vertAlign val="subscript"/>
        <sz val="10"/>
        <rFont val="Arial"/>
        <family val="2"/>
      </rPr>
      <t>11-8</t>
    </r>
  </si>
  <si>
    <r>
      <t>E</t>
    </r>
    <r>
      <rPr>
        <vertAlign val="subscript"/>
        <sz val="10"/>
        <rFont val="Arial"/>
        <family val="2"/>
      </rPr>
      <t>11-14</t>
    </r>
  </si>
  <si>
    <r>
      <t>E</t>
    </r>
    <r>
      <rPr>
        <vertAlign val="subscript"/>
        <sz val="10"/>
        <rFont val="Arial"/>
        <family val="2"/>
      </rPr>
      <t>14-11</t>
    </r>
  </si>
  <si>
    <r>
      <t>E</t>
    </r>
    <r>
      <rPr>
        <vertAlign val="subscript"/>
        <sz val="10"/>
        <rFont val="Arial"/>
        <family val="2"/>
      </rPr>
      <t>14-17</t>
    </r>
  </si>
  <si>
    <r>
      <t>E</t>
    </r>
    <r>
      <rPr>
        <vertAlign val="subscript"/>
        <sz val="10"/>
        <rFont val="Arial"/>
        <family val="2"/>
      </rPr>
      <t>17-14</t>
    </r>
  </si>
  <si>
    <r>
      <t>E</t>
    </r>
    <r>
      <rPr>
        <vertAlign val="subscript"/>
        <sz val="10"/>
        <rFont val="Arial"/>
        <family val="2"/>
      </rPr>
      <t>17-19</t>
    </r>
  </si>
  <si>
    <r>
      <t>E</t>
    </r>
    <r>
      <rPr>
        <vertAlign val="subscript"/>
        <sz val="10"/>
        <rFont val="Arial"/>
        <family val="2"/>
      </rPr>
      <t>19-17</t>
    </r>
  </si>
  <si>
    <r>
      <t>E</t>
    </r>
    <r>
      <rPr>
        <vertAlign val="subscript"/>
        <sz val="10"/>
        <rFont val="Arial"/>
        <family val="2"/>
      </rPr>
      <t>1-3</t>
    </r>
  </si>
  <si>
    <r>
      <t>E</t>
    </r>
    <r>
      <rPr>
        <vertAlign val="subscript"/>
        <sz val="10"/>
        <rFont val="Arial"/>
        <family val="2"/>
      </rPr>
      <t>3-1</t>
    </r>
  </si>
  <si>
    <r>
      <t>E</t>
    </r>
    <r>
      <rPr>
        <vertAlign val="subscript"/>
        <sz val="10"/>
        <rFont val="Arial"/>
        <family val="2"/>
      </rPr>
      <t>3-5</t>
    </r>
  </si>
  <si>
    <r>
      <t>E</t>
    </r>
    <r>
      <rPr>
        <vertAlign val="subscript"/>
        <sz val="10"/>
        <rFont val="Arial"/>
        <family val="2"/>
      </rPr>
      <t>5-3</t>
    </r>
  </si>
  <si>
    <r>
      <t>E</t>
    </r>
    <r>
      <rPr>
        <vertAlign val="subscript"/>
        <sz val="10"/>
        <rFont val="Arial"/>
        <family val="2"/>
      </rPr>
      <t>5-7</t>
    </r>
  </si>
  <si>
    <r>
      <t>E</t>
    </r>
    <r>
      <rPr>
        <vertAlign val="subscript"/>
        <sz val="10"/>
        <rFont val="Arial"/>
        <family val="2"/>
      </rPr>
      <t>7-5</t>
    </r>
  </si>
  <si>
    <r>
      <t>E</t>
    </r>
    <r>
      <rPr>
        <vertAlign val="subscript"/>
        <sz val="10"/>
        <rFont val="Arial"/>
        <family val="2"/>
      </rPr>
      <t>7-9</t>
    </r>
  </si>
  <si>
    <r>
      <t>E</t>
    </r>
    <r>
      <rPr>
        <vertAlign val="subscript"/>
        <sz val="10"/>
        <rFont val="Arial"/>
        <family val="2"/>
      </rPr>
      <t>9-7</t>
    </r>
  </si>
  <si>
    <r>
      <t>E</t>
    </r>
    <r>
      <rPr>
        <vertAlign val="subscript"/>
        <sz val="10"/>
        <rFont val="Arial"/>
        <family val="2"/>
      </rPr>
      <t>9-11</t>
    </r>
  </si>
  <si>
    <r>
      <t>E</t>
    </r>
    <r>
      <rPr>
        <vertAlign val="subscript"/>
        <sz val="10"/>
        <rFont val="Arial"/>
        <family val="2"/>
      </rPr>
      <t>11-9</t>
    </r>
  </si>
  <si>
    <r>
      <t>E</t>
    </r>
    <r>
      <rPr>
        <vertAlign val="subscript"/>
        <sz val="10"/>
        <rFont val="Arial"/>
        <family val="2"/>
      </rPr>
      <t>11-13</t>
    </r>
  </si>
  <si>
    <r>
      <t>E</t>
    </r>
    <r>
      <rPr>
        <vertAlign val="subscript"/>
        <sz val="10"/>
        <rFont val="Arial"/>
        <family val="2"/>
      </rPr>
      <t>13-11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</si>
</sst>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14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0"/>
    </font>
    <font>
      <b/>
      <sz val="10.75"/>
      <name val="Arial"/>
      <family val="0"/>
    </font>
    <font>
      <b/>
      <u val="double"/>
      <sz val="12"/>
      <name val="Arial"/>
      <family val="2"/>
    </font>
    <font>
      <b/>
      <u val="single"/>
      <sz val="12"/>
      <name val="Book Antiqua"/>
      <family val="1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GreekC"/>
      <family val="0"/>
    </font>
    <font>
      <sz val="9"/>
      <name val="Arial"/>
      <family val="2"/>
    </font>
    <font>
      <u val="double"/>
      <sz val="12"/>
      <name val="Arial"/>
      <family val="2"/>
    </font>
    <font>
      <sz val="11"/>
      <name val="GreekC"/>
      <family val="0"/>
    </font>
    <font>
      <sz val="10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Font="1" applyBorder="1" applyAlignment="1">
      <alignment horizontal="center" vertical="center"/>
    </xf>
    <xf numFmtId="173" fontId="0" fillId="0" borderId="7" xfId="0" applyNumberFormat="1" applyFont="1" applyBorder="1" applyAlignment="1">
      <alignment horizontal="center" vertical="center"/>
    </xf>
    <xf numFmtId="173" fontId="0" fillId="0" borderId="5" xfId="0" applyNumberFormat="1" applyBorder="1" applyAlignment="1">
      <alignment horizontal="center"/>
    </xf>
    <xf numFmtId="173" fontId="0" fillId="2" borderId="5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73" fontId="0" fillId="3" borderId="5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72" fontId="0" fillId="2" borderId="5" xfId="0" applyNumberFormat="1" applyFill="1" applyBorder="1" applyAlignment="1">
      <alignment horizontal="center"/>
    </xf>
    <xf numFmtId="172" fontId="0" fillId="0" borderId="5" xfId="0" applyNumberFormat="1" applyFill="1" applyBorder="1" applyAlignment="1">
      <alignment horizontal="center"/>
    </xf>
    <xf numFmtId="173" fontId="0" fillId="0" borderId="5" xfId="0" applyNumberFormat="1" applyFill="1" applyBorder="1" applyAlignment="1">
      <alignment horizontal="center"/>
    </xf>
    <xf numFmtId="172" fontId="0" fillId="3" borderId="0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173" fontId="0" fillId="4" borderId="5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173" fontId="0" fillId="2" borderId="7" xfId="0" applyNumberFormat="1" applyFont="1" applyFill="1" applyBorder="1" applyAlignment="1">
      <alignment horizontal="center" vertical="center"/>
    </xf>
    <xf numFmtId="2" fontId="0" fillId="2" borderId="5" xfId="0" applyNumberFormat="1" applyFont="1" applyFill="1" applyBorder="1" applyAlignment="1">
      <alignment horizontal="center" vertical="center"/>
    </xf>
    <xf numFmtId="173" fontId="0" fillId="4" borderId="7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/>
    </xf>
    <xf numFmtId="173" fontId="0" fillId="5" borderId="5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23" xfId="0" applyFill="1" applyBorder="1" applyAlignment="1">
      <alignment horizontal="center" vertical="center"/>
    </xf>
    <xf numFmtId="2" fontId="0" fillId="2" borderId="24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172" fontId="0" fillId="5" borderId="5" xfId="0" applyNumberForma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1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Border="1" applyAlignment="1">
      <alignment horizontal="center" vertical="center" textRotation="90"/>
    </xf>
    <xf numFmtId="2" fontId="0" fillId="0" borderId="0" xfId="0" applyNumberForma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173" fontId="0" fillId="0" borderId="0" xfId="0" applyNumberFormat="1" applyBorder="1" applyAlignment="1">
      <alignment horizontal="center" vertical="center" textRotation="90"/>
    </xf>
    <xf numFmtId="0" fontId="0" fillId="0" borderId="3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" fontId="0" fillId="0" borderId="25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71" fontId="0" fillId="2" borderId="3" xfId="0" applyNumberFormat="1" applyFill="1" applyBorder="1" applyAlignment="1">
      <alignment horizontal="center"/>
    </xf>
    <xf numFmtId="171" fontId="0" fillId="2" borderId="36" xfId="0" applyNumberFormat="1" applyFill="1" applyBorder="1" applyAlignment="1">
      <alignment horizontal="center"/>
    </xf>
    <xf numFmtId="171" fontId="0" fillId="5" borderId="36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4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9" xfId="0" applyBorder="1" applyAlignment="1">
      <alignment horizontal="center"/>
    </xf>
    <xf numFmtId="2" fontId="0" fillId="0" borderId="29" xfId="0" applyNumberFormat="1" applyFont="1" applyFill="1" applyBorder="1" applyAlignment="1">
      <alignment horizontal="center" vertical="center" textRotation="90"/>
    </xf>
    <xf numFmtId="2" fontId="0" fillId="0" borderId="30" xfId="0" applyNumberFormat="1" applyFont="1" applyFill="1" applyBorder="1" applyAlignment="1">
      <alignment horizontal="center" vertical="center" textRotation="90"/>
    </xf>
    <xf numFmtId="2" fontId="0" fillId="0" borderId="31" xfId="0" applyNumberFormat="1" applyBorder="1" applyAlignment="1">
      <alignment horizontal="center" vertical="center" textRotation="90"/>
    </xf>
    <xf numFmtId="2" fontId="0" fillId="0" borderId="9" xfId="0" applyNumberFormat="1" applyBorder="1" applyAlignment="1">
      <alignment horizontal="center" vertical="center" textRotation="90"/>
    </xf>
    <xf numFmtId="2" fontId="0" fillId="0" borderId="30" xfId="0" applyNumberFormat="1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7" xfId="0" applyBorder="1" applyAlignment="1">
      <alignment/>
    </xf>
    <xf numFmtId="0" fontId="0" fillId="0" borderId="36" xfId="0" applyBorder="1" applyAlignment="1">
      <alignment/>
    </xf>
    <xf numFmtId="0" fontId="0" fillId="0" borderId="51" xfId="0" applyBorder="1" applyAlignment="1">
      <alignment horizontal="center" vertical="center" textRotation="90"/>
    </xf>
    <xf numFmtId="0" fontId="0" fillId="0" borderId="51" xfId="0" applyBorder="1" applyAlignment="1">
      <alignment/>
    </xf>
    <xf numFmtId="0" fontId="0" fillId="0" borderId="5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1" fontId="0" fillId="0" borderId="31" xfId="0" applyNumberFormat="1" applyBorder="1" applyAlignment="1">
      <alignment horizontal="center" vertical="center" textRotation="90"/>
    </xf>
    <xf numFmtId="1" fontId="0" fillId="0" borderId="52" xfId="0" applyNumberFormat="1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9" fillId="0" borderId="45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51" xfId="0" applyFont="1" applyBorder="1" applyAlignment="1">
      <alignment horizontal="center" vertical="center" textRotation="90"/>
    </xf>
    <xf numFmtId="0" fontId="7" fillId="0" borderId="45" xfId="0" applyFont="1" applyFill="1" applyBorder="1" applyAlignment="1">
      <alignment horizontal="center" vertical="center" textRotation="90"/>
    </xf>
    <xf numFmtId="0" fontId="7" fillId="0" borderId="47" xfId="0" applyFont="1" applyFill="1" applyBorder="1" applyAlignment="1">
      <alignment horizontal="center" vertical="center" textRotation="90"/>
    </xf>
    <xf numFmtId="0" fontId="7" fillId="0" borderId="50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51" xfId="0" applyFont="1" applyFill="1" applyBorder="1" applyAlignment="1">
      <alignment horizontal="center" vertical="center" textRotation="90"/>
    </xf>
    <xf numFmtId="0" fontId="7" fillId="0" borderId="45" xfId="0" applyFont="1" applyFill="1" applyBorder="1" applyAlignment="1">
      <alignment horizontal="center" vertical="center" textRotation="90"/>
    </xf>
    <xf numFmtId="173" fontId="0" fillId="0" borderId="53" xfId="0" applyNumberFormat="1" applyBorder="1" applyAlignment="1">
      <alignment horizontal="center" vertical="center" textRotation="90"/>
    </xf>
    <xf numFmtId="173" fontId="0" fillId="0" borderId="9" xfId="0" applyNumberFormat="1" applyBorder="1" applyAlignment="1">
      <alignment horizontal="center" vertical="center" textRotation="90"/>
    </xf>
    <xf numFmtId="173" fontId="0" fillId="0" borderId="30" xfId="0" applyNumberFormat="1" applyBorder="1" applyAlignment="1">
      <alignment horizontal="center" vertical="center" textRotation="90"/>
    </xf>
    <xf numFmtId="0" fontId="6" fillId="0" borderId="54" xfId="0" applyFont="1" applyBorder="1" applyAlignment="1">
      <alignment horizontal="center" vertical="center" textRotation="90"/>
    </xf>
    <xf numFmtId="0" fontId="6" fillId="0" borderId="55" xfId="0" applyFont="1" applyBorder="1" applyAlignment="1">
      <alignment horizontal="center" vertical="center" textRotation="90"/>
    </xf>
    <xf numFmtId="0" fontId="6" fillId="0" borderId="56" xfId="0" applyFont="1" applyBorder="1" applyAlignment="1">
      <alignment horizontal="center" vertical="center" textRotation="90"/>
    </xf>
    <xf numFmtId="173" fontId="0" fillId="0" borderId="31" xfId="0" applyNumberFormat="1" applyBorder="1" applyAlignment="1">
      <alignment horizontal="center" vertical="center" textRotation="90"/>
    </xf>
    <xf numFmtId="0" fontId="9" fillId="0" borderId="50" xfId="0" applyFont="1" applyBorder="1" applyAlignment="1">
      <alignment horizontal="center" vertical="center" textRotation="90"/>
    </xf>
    <xf numFmtId="0" fontId="9" fillId="0" borderId="47" xfId="0" applyFont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7" fillId="0" borderId="46" xfId="0" applyFont="1" applyFill="1" applyBorder="1" applyAlignment="1">
      <alignment horizontal="center" vertical="center" textRotation="90"/>
    </xf>
    <xf numFmtId="0" fontId="7" fillId="0" borderId="51" xfId="0" applyFont="1" applyFill="1" applyBorder="1" applyAlignment="1">
      <alignment horizontal="center" vertical="center" textRotation="90"/>
    </xf>
    <xf numFmtId="2" fontId="0" fillId="0" borderId="53" xfId="0" applyNumberFormat="1" applyBorder="1" applyAlignment="1">
      <alignment horizontal="center" vertical="center" textRotation="90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173" fontId="0" fillId="0" borderId="52" xfId="0" applyNumberFormat="1" applyBorder="1" applyAlignment="1">
      <alignment horizontal="center" vertical="center" textRotation="90"/>
    </xf>
    <xf numFmtId="0" fontId="7" fillId="0" borderId="4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dbl" baseline="0">
                <a:latin typeface="Arial"/>
                <a:ea typeface="Arial"/>
                <a:cs typeface="Arial"/>
              </a:rPr>
              <a:t>Verifica di resistenza per sezioni pressoinflesse</a:t>
            </a:r>
            <a:r>
              <a:rPr lang="en-US" cap="none" sz="1200" b="0" i="0" u="dbl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{dominio di resistenza relativo ad una sezione (30x30) con 4</a:t>
            </a:r>
            <a:r>
              <a:rPr lang="en-US" cap="none" sz="1100" b="0" i="0" u="none" baseline="0"/>
              <a:t>F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12}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97"/>
          <c:w val="0.9145"/>
          <c:h val="0.61375"/>
        </c:manualLayout>
      </c:layout>
      <c:scatterChart>
        <c:scatterStyle val="smoothMarker"/>
        <c:varyColors val="0"/>
        <c:ser>
          <c:idx val="0"/>
          <c:order val="0"/>
          <c:tx>
            <c:v>Curva d'interazione (dominio di crisi)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'Int.(30x30)'!$X$3:$X$44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'Int.(30x30)'!$Y$3:$Y$44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1"/>
        </c:ser>
        <c:ser>
          <c:idx val="7"/>
          <c:order val="1"/>
          <c:tx>
            <c:v>Sollecitazioni limite per i vari campi di funzionamento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('Int.(30x30)'!$X$2,'Int.(30x30)'!$X$8,'Int.(30x30)'!$X$13,'Int.(30x30)'!$X$17,'Int.(30x30)'!$X$26,'Int.(30x30)'!$X$33,'Int.(30x30)'!$X$35,'Int.(30x30)'!$X$45)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('Int.(30x30)'!$Y$2,'Int.(30x30)'!$Y$8,'Int.(30x30)'!$Y$13,'Int.(30x30)'!$Y$17,'Int.(30x30)'!$Y$26,'Int.(30x30)'!$Y$33,'Int.(30x30)'!$Y$35,'Int.(30x30)'!$Y$45)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Limite superiore del domino di crisi (per N=1099.82 KN)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'Int.(30x30)'!$X$49:$X$50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'Int.(30x30)'!$Y$49:$Y$50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v>Limite inferiore del dominio di crisi (per e=20 mm)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'Int.(30x30)'!$X$51:$X$52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'Int.(30x30)'!$Y$51:$Y$52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v>Stato di sollecitazione nella sezione 2-5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'Int.(30x30)'!$H$3:$H$3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'Int.(30x30)'!$I$3:$I$3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5"/>
          <c:tx>
            <c:v>Stato di sollecitazione nella sezione 5-2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'Int.(30x30)'!$H$4:$H$4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'Int.(30x30)'!$I$4:$I$4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6"/>
          <c:tx>
            <c:v>Stato di sollecitazione nella sezione 5-8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'Int.(30x30)'!$H$5:$H$5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'Int.(30x30)'!$I$5:$I$5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6"/>
          <c:order val="7"/>
          <c:tx>
            <c:v>Stato di sollecitazione nella sezione 8-5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'Int.(30x30)'!$H$6:$H$6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'Int.(30x30)'!$I$6:$I$6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Stato di solecitazione nella sezione 8-11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'Int.(30x30)'!$H$7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'Int.(30x30)'!$I$7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Stato di sollecitazione nella sezione 11-8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'Int.(30x30)'!$H$8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'Int.(30x30)'!$I$8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41255105"/>
        <c:axId val="35751626"/>
      </c:scatterChart>
      <c:valAx>
        <c:axId val="41255105"/>
        <c:scaling>
          <c:orientation val="minMax"/>
          <c:max val="1500"/>
          <c:min val="-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 (KN)</a:t>
                </a:r>
              </a:p>
            </c:rich>
          </c:tx>
          <c:layout>
            <c:manualLayout>
              <c:xMode val="factor"/>
              <c:yMode val="factor"/>
              <c:x val="0.006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751626"/>
        <c:crosses val="autoZero"/>
        <c:crossBetween val="midCat"/>
        <c:dispUnits/>
        <c:majorUnit val="250"/>
      </c:valAx>
      <c:valAx>
        <c:axId val="35751626"/>
        <c:scaling>
          <c:orientation val="minMax"/>
          <c:max val="65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0.0287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2551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"/>
          <c:y val="0.7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dbl" baseline="0">
                <a:latin typeface="Arial"/>
                <a:ea typeface="Arial"/>
                <a:cs typeface="Arial"/>
              </a:rPr>
              <a:t>Verifica di resistenza per sezioni pressoinflesse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{dominio di resistenza relativo ad una sezione (35x35) con 4</a:t>
            </a:r>
            <a:r>
              <a:rPr lang="en-US" cap="none" sz="1100" b="0" i="0" u="none" baseline="0"/>
              <a:t>F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14}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005"/>
          <c:w val="0.914"/>
          <c:h val="0.599"/>
        </c:manualLayout>
      </c:layout>
      <c:scatterChart>
        <c:scatterStyle val="smoothMarker"/>
        <c:varyColors val="0"/>
        <c:ser>
          <c:idx val="0"/>
          <c:order val="0"/>
          <c:tx>
            <c:v>Curva d'interazione (dominio di crisi)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'Int.(35x35)'!$X$3:$X$44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'Int.(35x35)'!$Y$3:$Y$44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1"/>
        </c:ser>
        <c:ser>
          <c:idx val="7"/>
          <c:order val="1"/>
          <c:tx>
            <c:v>Sollecitazioni limite per i vari campi di funzionamento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('Int.(35x35)'!$X$2,'Int.(35x35)'!$X$8,'Int.(35x35)'!$X$13,'Int.(35x35)'!$X$17,'Int.(35x35)'!$X$26,'Int.(35x35)'!$X$33,'Int.(35x35)'!$X$35,'Int.(35x35)'!$X$45)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('Int.(35x35)'!$Y$2,'Int.(35x35)'!$Y$8,'Int.(35x35)'!$Y$13,'Int.(35x35)'!$Y$17,'Int.(35x35)'!$Y$26,'Int.(35x35)'!$Y$33,'Int.(35x35)'!$Y$35,'Int.(35x35)'!$Y$45)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Limite superiore del dominio di crisi (per N=1497.23 KN)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'Int.(35x35)'!$X$49:$X$50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'Int.(35x35)'!$Y$49:$Y$50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v>Limite inferiore del dominio di crisi (per e=20 mm)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'Int.(35x35)'!$X$51:$X$52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'Int.(35x35)'!$Y$51:$Y$52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v>Stato di sollecitazione nella sezione 11-14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'Int.(35x35)'!$H$3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'Int.(35x35)'!$I$3:$I$3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5"/>
          <c:tx>
            <c:v>Stato di sollecitazione nella sezione 14-11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'Int.(35x35)'!$H$4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'Int.(35x35)'!$I$4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3329179"/>
        <c:axId val="10200564"/>
      </c:scatterChart>
      <c:valAx>
        <c:axId val="53329179"/>
        <c:scaling>
          <c:orientation val="minMax"/>
          <c:max val="2000"/>
          <c:min val="-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 (KN)</a:t>
                </a:r>
              </a:p>
            </c:rich>
          </c:tx>
          <c:layout>
            <c:manualLayout>
              <c:xMode val="factor"/>
              <c:yMode val="factor"/>
              <c:x val="0.005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200564"/>
        <c:crosses val="autoZero"/>
        <c:crossBetween val="midCat"/>
        <c:dispUnits/>
        <c:majorUnit val="250"/>
        <c:minorUnit val="100"/>
      </c:valAx>
      <c:valAx>
        <c:axId val="10200564"/>
        <c:scaling>
          <c:orientation val="minMax"/>
          <c:max val="1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3291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25"/>
          <c:y val="0.75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dbl" baseline="0">
                <a:latin typeface="Arial"/>
                <a:ea typeface="Arial"/>
                <a:cs typeface="Arial"/>
              </a:rPr>
              <a:t>Verifica di resistenza per sezioni pressoinflesse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{dominio di resistenza relativo ad una sezione (40x40) con 4</a:t>
            </a:r>
            <a:r>
              <a:rPr lang="en-US" cap="none" sz="1100" b="0" i="0" u="none" baseline="0"/>
              <a:t>F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16}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4"/>
          <c:w val="0.914"/>
          <c:h val="0.63275"/>
        </c:manualLayout>
      </c:layout>
      <c:scatterChart>
        <c:scatterStyle val="smoothMarker"/>
        <c:varyColors val="0"/>
        <c:ser>
          <c:idx val="0"/>
          <c:order val="0"/>
          <c:tx>
            <c:v>Curva d'interazione (dominio di crisi)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'Int.(40x40)'!$X$2:$X$45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xVal>
          <c:yVal>
            <c:numRef>
              <c:f>'Int.(40x40)'!$Y$2:$Y$45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1"/>
        </c:ser>
        <c:ser>
          <c:idx val="7"/>
          <c:order val="1"/>
          <c:tx>
            <c:v>Sollecitazioni limite per i vari campi di funzionamento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('Int.(40x40)'!$X$2,'Int.(40x40)'!$X$8,'Int.(40x40)'!$X$13,'Int.(40x40)'!$X$17,'Int.(40x40)'!$X$26,'Int.(40x40)'!$X$33,'Int.(40x40)'!$X$35,'Int.(40x40)'!$X$45)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('Int.(40x40)'!$Y$2,'Int.(40x40)'!$Y$8,'Int.(40x40)'!$Y$13,'Int.(40x40)'!$Y$17,'Int.(40x40)'!$Y$26,'Int.(40x40)'!$Y$33,'Int.(40x40)'!$Y$35,'Int.(40x40)'!$Y$45)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Limite superiore del dominio di crisi (per N=1955.37 KN)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'Int.(40x40)'!$X$49:$X$50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'Int.(40x40)'!$Y$49:$Y$50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v>Limite inferiore del domino di crisi (per e=20 mm)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'Int.(40x40)'!$X$51:$X$52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'Int.(40x40)'!$Y$51:$Y$52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v>Stato di sollecitazione nella sezione 14-17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'Int.(40x40)'!$H$3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'Int.(40x40)'!$I$3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5"/>
          <c:tx>
            <c:v>Stato di sollecitazione nella sezione 17-14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'Int.(40x40)'!$H$4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'Int.(40x40)'!$I$4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24696213"/>
        <c:axId val="20939326"/>
      </c:scatterChart>
      <c:valAx>
        <c:axId val="24696213"/>
        <c:scaling>
          <c:orientation val="minMax"/>
          <c:max val="2500"/>
          <c:min val="-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 (KN)</a:t>
                </a:r>
              </a:p>
            </c:rich>
          </c:tx>
          <c:layout>
            <c:manualLayout>
              <c:xMode val="factor"/>
              <c:yMode val="factor"/>
              <c:x val="0.013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939326"/>
        <c:crosses val="autoZero"/>
        <c:crossBetween val="midCat"/>
        <c:dispUnits/>
        <c:majorUnit val="500"/>
        <c:minorUnit val="100"/>
      </c:valAx>
      <c:valAx>
        <c:axId val="209393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0.018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6962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75"/>
          <c:y val="0.7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dbl" baseline="0">
                <a:latin typeface="Arial"/>
                <a:ea typeface="Arial"/>
                <a:cs typeface="Arial"/>
              </a:rPr>
              <a:t>Verifica di resistenza per sezioni pressoinflesse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{dominio di resistenza relativo ad una sezione (45x45) con 4</a:t>
            </a:r>
            <a:r>
              <a:rPr lang="en-US" cap="none" sz="1100" b="0" i="0" u="none" baseline="0"/>
              <a:t>F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16}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55"/>
          <c:w val="0.914"/>
          <c:h val="0.73675"/>
        </c:manualLayout>
      </c:layout>
      <c:scatterChart>
        <c:scatterStyle val="smoothMarker"/>
        <c:varyColors val="0"/>
        <c:ser>
          <c:idx val="0"/>
          <c:order val="0"/>
          <c:tx>
            <c:v>Curva d'interazione (dominio di crisi)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'Int.(45x45)'!$X$2:$X$45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xVal>
          <c:yVal>
            <c:numRef>
              <c:f>'Int.(45x45)'!$Y$2:$Y$45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1"/>
        </c:ser>
        <c:ser>
          <c:idx val="7"/>
          <c:order val="1"/>
          <c:tx>
            <c:v>Sollecitazioni limite per i vari campi di funzionamento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('Int.(45x45)'!$X$2,'Int.(45x45)'!$X$8,'Int.(45x45)'!$X$13,'Int.(45x45)'!$X$17,'Int.(45x45)'!$X$26,'Int.(45x45)'!$X$33,'Int.(45x45)'!$X$35,'Int.(45x45)'!$X$45)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('Int.(45x45)'!$Y$2,'Int.(45x45)'!$Y$8,'Int.(45x45)'!$Y$13,'Int.(45x45)'!$Y$17,'Int.(45x45)'!$Y$26,'Int.(45x45)'!$Y$33,'Int.(45x45)'!$Y$35,'Int.(45x45)'!$Y$45)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Limite superiore del dominio di crisi (per N=2405.13 KN)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'Int.(45x45)'!$X$49:$X$50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'Int.(45x45)'!$Y$49:$Y$50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v>Limite inferiore del domino di crisi (per e=20 mm)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'Int.(45x45)'!$X$51:$X$52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'Int.(45x45)'!$Y$51:$Y$52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v>Stato di sollecitazione nella sezione 17-19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'Int.(45x45)'!$H$3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'Int.(45x45)'!$I$3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5"/>
          <c:tx>
            <c:v>Stato di sollecitazione nella sezione 19-17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'Int.(45x45)'!$H$4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'Int.(45x45)'!$I$4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4236207"/>
        <c:axId val="18363816"/>
      </c:scatterChart>
      <c:valAx>
        <c:axId val="54236207"/>
        <c:scaling>
          <c:orientation val="minMax"/>
          <c:max val="3000"/>
          <c:min val="-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 (KN)</a:t>
                </a:r>
              </a:p>
            </c:rich>
          </c:tx>
          <c:layout>
            <c:manualLayout>
              <c:xMode val="factor"/>
              <c:yMode val="factor"/>
              <c:x val="0.000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363816"/>
        <c:crosses val="autoZero"/>
        <c:crossBetween val="midCat"/>
        <c:dispUnits/>
        <c:majorUnit val="500"/>
        <c:minorUnit val="100"/>
      </c:valAx>
      <c:valAx>
        <c:axId val="18363816"/>
        <c:scaling>
          <c:orientation val="minMax"/>
          <c:max val="2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236207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25"/>
          <c:y val="0.83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dbl" baseline="0">
                <a:latin typeface="Arial"/>
                <a:ea typeface="Arial"/>
                <a:cs typeface="Arial"/>
              </a:rPr>
              <a:t>Verifica di resistenza per sezioni pressoinflesse</a:t>
            </a:r>
            <a:r>
              <a:rPr lang="en-US" cap="none" sz="1200" b="0" i="0" u="dbl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{dominio di resistenza relativo ad una sezione (30x30) con 6</a:t>
            </a:r>
            <a:r>
              <a:rPr lang="en-US" cap="none" sz="1100" b="0" i="0" u="none" baseline="0"/>
              <a:t>F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14}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18"/>
          <c:w val="0.907"/>
          <c:h val="0.5945"/>
        </c:manualLayout>
      </c:layout>
      <c:scatterChart>
        <c:scatterStyle val="smoothMarker"/>
        <c:varyColors val="0"/>
        <c:ser>
          <c:idx val="0"/>
          <c:order val="0"/>
          <c:tx>
            <c:v>Curva d'interazione (dominio di crisi)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'Est.(30x30) 1°'!$X$2:$X$45</c:f>
              <c:numCache/>
            </c:numRef>
          </c:xVal>
          <c:yVal>
            <c:numRef>
              <c:f>'Est.(30x30) 1°'!$Y$2:$Y$45</c:f>
              <c:numCache/>
            </c:numRef>
          </c:yVal>
          <c:smooth val="1"/>
        </c:ser>
        <c:ser>
          <c:idx val="7"/>
          <c:order val="1"/>
          <c:tx>
            <c:v>Sollecitazioni limite per i vari campi di funzionamento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('Est.(30x30) 1°'!$X$2,'Est.(30x30) 1°'!$X$8,'Est.(30x30) 1°'!$X$13,'Est.(30x30) 1°'!$X$17,'Est.(30x30) 1°'!$X$26,'Est.(30x30) 1°'!$X$33,'Est.(30x30) 1°'!$X$36,'Est.(30x30) 1°'!$X$45)</c:f>
              <c:numCache/>
            </c:numRef>
          </c:xVal>
          <c:yVal>
            <c:numRef>
              <c:f>('Est.(30x30) 1°'!$Y$2,'Est.(30x30) 1°'!$Y$8,'Est.(30x30) 1°'!$Y$13,'Est.(30x30) 1°'!$Y$17,'Est.(30x30) 1°'!$Y$26,'Est.(30x30) 1°'!$Y$33,'Est.(30x30) 1°'!$Y$36,'Est.(30x30) 1°'!$Y$45)</c:f>
              <c:numCache/>
            </c:numRef>
          </c:yVal>
          <c:smooth val="1"/>
        </c:ser>
        <c:ser>
          <c:idx val="1"/>
          <c:order val="2"/>
          <c:tx>
            <c:v>Limite superiore del domino di crisi (per N=1253.73 KN)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'Est.(30x30) 1°'!$X$49:$X$50</c:f>
              <c:numCache/>
            </c:numRef>
          </c:xVal>
          <c:yVal>
            <c:numRef>
              <c:f>'Est.(30x30) 1°'!$Y$49:$Y$50</c:f>
              <c:numCache/>
            </c:numRef>
          </c:yVal>
          <c:smooth val="1"/>
        </c:ser>
        <c:ser>
          <c:idx val="2"/>
          <c:order val="3"/>
          <c:tx>
            <c:v>Limite inferiore del dominio di crisi (per e=20 mm)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'Est.(30x30) 1°'!$X$51:$X$52</c:f>
              <c:numCache/>
            </c:numRef>
          </c:xVal>
          <c:yVal>
            <c:numRef>
              <c:f>'Est.(30x30) 1°'!$Y$51:$Y$52</c:f>
              <c:numCache/>
            </c:numRef>
          </c:yVal>
          <c:smooth val="1"/>
        </c:ser>
        <c:ser>
          <c:idx val="3"/>
          <c:order val="4"/>
          <c:tx>
            <c:v>Stato di sollecitazione nella sezione 1-3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'Est.(30x30) 1°'!$H$3</c:f>
              <c:numCache/>
            </c:numRef>
          </c:xVal>
          <c:yVal>
            <c:numRef>
              <c:f>'Est.(30x30) 1°'!$I$3</c:f>
              <c:numCache/>
            </c:numRef>
          </c:yVal>
          <c:smooth val="1"/>
        </c:ser>
        <c:ser>
          <c:idx val="4"/>
          <c:order val="5"/>
          <c:tx>
            <c:v>Stato di sollecitazione nella sezione 3-1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'Est.(30x30) 1°'!$H$4</c:f>
              <c:numCache/>
            </c:numRef>
          </c:xVal>
          <c:yVal>
            <c:numRef>
              <c:f>'Est.(30x30) 1°'!$I$4</c:f>
              <c:numCache/>
            </c:numRef>
          </c:yVal>
          <c:smooth val="1"/>
        </c:ser>
        <c:axId val="31056617"/>
        <c:axId val="11074098"/>
      </c:scatterChart>
      <c:valAx>
        <c:axId val="31056617"/>
        <c:scaling>
          <c:orientation val="minMax"/>
          <c:max val="1750"/>
          <c:min val="-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 (KN)</a:t>
                </a:r>
              </a:p>
            </c:rich>
          </c:tx>
          <c:layout>
            <c:manualLayout>
              <c:xMode val="factor"/>
              <c:yMode val="factor"/>
              <c:x val="0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1074098"/>
        <c:crosses val="autoZero"/>
        <c:crossBetween val="midCat"/>
        <c:dispUnits/>
        <c:majorUnit val="250"/>
      </c:valAx>
      <c:valAx>
        <c:axId val="11074098"/>
        <c:scaling>
          <c:orientation val="minMax"/>
          <c:max val="85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0.039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10566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75"/>
          <c:y val="0.77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dbl" baseline="0">
                <a:latin typeface="Arial"/>
                <a:ea typeface="Arial"/>
                <a:cs typeface="Arial"/>
              </a:rPr>
              <a:t>Verifica di resistenza per sezioni pressoinflesse</a:t>
            </a:r>
            <a:r>
              <a:rPr lang="en-US" cap="none" sz="1200" b="0" i="0" u="dbl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{dominio di resistenza relativo ad una sezione (30x30) con 6</a:t>
            </a:r>
            <a:r>
              <a:rPr lang="en-US" cap="none" sz="1100" b="0" i="0" u="none" baseline="0"/>
              <a:t>F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16}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85"/>
          <c:w val="0.91525"/>
          <c:h val="0.61175"/>
        </c:manualLayout>
      </c:layout>
      <c:scatterChart>
        <c:scatterStyle val="smoothMarker"/>
        <c:varyColors val="0"/>
        <c:ser>
          <c:idx val="0"/>
          <c:order val="0"/>
          <c:tx>
            <c:v>Curva d'interazione (dominio di crisi)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'Est.(30x30) 2°'!$X$2:$X$45</c:f>
              <c:numCache/>
            </c:numRef>
          </c:xVal>
          <c:yVal>
            <c:numRef>
              <c:f>'Est.(30x30) 2°'!$Y$2:$Y$45</c:f>
              <c:numCache/>
            </c:numRef>
          </c:yVal>
          <c:smooth val="1"/>
        </c:ser>
        <c:ser>
          <c:idx val="7"/>
          <c:order val="1"/>
          <c:tx>
            <c:v>Sollecitazioni limite per i vari campi di funzionamento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('Est.(30x30) 2°'!$X$2,'Est.(30x30) 2°'!$X$8,'Est.(30x30) 2°'!$X$13,'Est.(30x30) 2°'!$X$17,'Est.(30x30) 2°'!$X$26,'Est.(30x30) 2°'!$X$33,'Est.(30x30) 2°'!$X$36,'Est.(30x30) 2°'!$X$45)</c:f>
              <c:numCache/>
            </c:numRef>
          </c:xVal>
          <c:yVal>
            <c:numRef>
              <c:f>('Est.(30x30) 2°'!$Y$2,'Est.(30x30) 2°'!$Y$8,'Est.(30x30) 2°'!$Y$13,'Est.(30x30) 2°'!$Y$17,'Est.(30x30) 2°'!$Y$26,'Est.(30x30) 2°'!$Y$33,'Est.(30x30) 2°'!$Y$36,'Est.(30x30) 2°'!$Y$45)</c:f>
              <c:numCache/>
            </c:numRef>
          </c:yVal>
          <c:smooth val="1"/>
        </c:ser>
        <c:ser>
          <c:idx val="1"/>
          <c:order val="2"/>
          <c:tx>
            <c:v>Limite superiore del domino di crisi (per N=1345.69 KN)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'Est.(30x30) 2°'!$X$49:$X$50</c:f>
              <c:numCache/>
            </c:numRef>
          </c:xVal>
          <c:yVal>
            <c:numRef>
              <c:f>'Est.(30x30) 2°'!$Y$49:$Y$50</c:f>
              <c:numCache/>
            </c:numRef>
          </c:yVal>
          <c:smooth val="1"/>
        </c:ser>
        <c:ser>
          <c:idx val="2"/>
          <c:order val="3"/>
          <c:tx>
            <c:v>Limite inferiore del dominio di crisi (per e=20 mm)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'Est.(30x30) 2°'!$X$51:$X$52</c:f>
              <c:numCache/>
            </c:numRef>
          </c:xVal>
          <c:yVal>
            <c:numRef>
              <c:f>'Est.(30x30) 2°'!$Y$51:$Y$52</c:f>
              <c:numCache/>
            </c:numRef>
          </c:yVal>
          <c:smooth val="1"/>
        </c:ser>
        <c:ser>
          <c:idx val="3"/>
          <c:order val="4"/>
          <c:tx>
            <c:v>Stato di sollecitazione nella sezione 3-5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'Est.(30x30) 2°'!$H$3</c:f>
              <c:numCache/>
            </c:numRef>
          </c:xVal>
          <c:yVal>
            <c:numRef>
              <c:f>'Est.(30x30) 2°'!$I$3</c:f>
              <c:numCache/>
            </c:numRef>
          </c:yVal>
          <c:smooth val="1"/>
        </c:ser>
        <c:ser>
          <c:idx val="4"/>
          <c:order val="5"/>
          <c:tx>
            <c:v>Stato di sollecitazione nella sezione 5-3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'Est.(30x30) 2°'!$H$4</c:f>
              <c:numCache/>
            </c:numRef>
          </c:xVal>
          <c:yVal>
            <c:numRef>
              <c:f>'Est.(30x30) 2°'!$I$4</c:f>
              <c:numCache/>
            </c:numRef>
          </c:yVal>
          <c:smooth val="1"/>
        </c:ser>
        <c:ser>
          <c:idx val="5"/>
          <c:order val="6"/>
          <c:tx>
            <c:v>Stato di sollecitazione nella sezione 5-7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'Est.(30x30) 2°'!$H$5</c:f>
              <c:numCache/>
            </c:numRef>
          </c:xVal>
          <c:yVal>
            <c:numRef>
              <c:f>'Est.(30x30) 2°'!$I$5</c:f>
              <c:numCache/>
            </c:numRef>
          </c:yVal>
          <c:smooth val="1"/>
        </c:ser>
        <c:ser>
          <c:idx val="6"/>
          <c:order val="7"/>
          <c:tx>
            <c:v>Stato di sollecitazione nella sezione 7-5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'Est.(30x30) 2°'!$H$6</c:f>
              <c:numCache/>
            </c:numRef>
          </c:xVal>
          <c:yVal>
            <c:numRef>
              <c:f>'Est.(30x30) 2°'!$I$6</c:f>
              <c:numCache/>
            </c:numRef>
          </c:yVal>
          <c:smooth val="1"/>
        </c:ser>
        <c:axId val="32558019"/>
        <c:axId val="24586716"/>
      </c:scatterChart>
      <c:valAx>
        <c:axId val="32558019"/>
        <c:scaling>
          <c:orientation val="minMax"/>
          <c:max val="1750"/>
          <c:min val="-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 (KN)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4586716"/>
        <c:crosses val="autoZero"/>
        <c:crossBetween val="midCat"/>
        <c:dispUnits/>
        <c:majorUnit val="250"/>
      </c:valAx>
      <c:valAx>
        <c:axId val="24586716"/>
        <c:scaling>
          <c:orientation val="minMax"/>
          <c:max val="95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0.039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25580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5"/>
          <c:y val="0.766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dbl" baseline="0">
                <a:latin typeface="Arial"/>
                <a:ea typeface="Arial"/>
                <a:cs typeface="Arial"/>
              </a:rPr>
              <a:t>Verifica di resistenza per sezioni pressoinflesse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{dominio di resistenza per una sezione (35x35) con 4</a:t>
            </a:r>
            <a:r>
              <a:rPr lang="en-US" cap="none" sz="1100" b="0" i="0" u="none" baseline="0"/>
              <a:t>F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12 e 4</a:t>
            </a:r>
            <a:r>
              <a:rPr lang="en-US" cap="none" sz="1100" b="0" i="0" u="none" baseline="0"/>
              <a:t>F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16}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0025"/>
          <c:w val="0.914"/>
          <c:h val="0.59925"/>
        </c:manualLayout>
      </c:layout>
      <c:scatterChart>
        <c:scatterStyle val="smoothMarker"/>
        <c:varyColors val="0"/>
        <c:ser>
          <c:idx val="0"/>
          <c:order val="0"/>
          <c:tx>
            <c:v>Curva d'interazione (dominio di crisi)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'Est.(35x35)'!$X$2:$X$45</c:f>
              <c:numCache/>
            </c:numRef>
          </c:xVal>
          <c:yVal>
            <c:numRef>
              <c:f>'Est.(35x35)'!$Y$2:$Y$45</c:f>
              <c:numCache/>
            </c:numRef>
          </c:yVal>
          <c:smooth val="1"/>
        </c:ser>
        <c:ser>
          <c:idx val="7"/>
          <c:order val="1"/>
          <c:tx>
            <c:v>Sollecitazioni limite per i vari campi di funzionamento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('Est.(35x35)'!$X$2,'Est.(35x35)'!$X$8,'Est.(35x35)'!$X$13,'Est.(35x35)'!$X$17,'Est.(35x35)'!$X$26,'Est.(35x35)'!$X$33,'Est.(35x35)'!$X$36,'Est.(35x35)'!$X$45)</c:f>
              <c:numCache/>
            </c:numRef>
          </c:xVal>
          <c:yVal>
            <c:numRef>
              <c:f>('Est.(35x35)'!$Y$2,'Est.(35x35)'!$Y$8,'Est.(35x35)'!$Y$13,'Est.(35x35)'!$Y$17,'Est.(35x35)'!$Y$26,'Est.(35x35)'!$Y$33,'Est.(35x35)'!$Y$36,'Est.(35x35)'!$Y$45)</c:f>
              <c:numCache/>
            </c:numRef>
          </c:yVal>
          <c:smooth val="1"/>
        </c:ser>
        <c:ser>
          <c:idx val="1"/>
          <c:order val="2"/>
          <c:tx>
            <c:v>Limite superiore del dominio di crisi (per N=1705.92 KN)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'Est.(35x35)'!$X$49:$X$50</c:f>
              <c:numCache/>
            </c:numRef>
          </c:xVal>
          <c:yVal>
            <c:numRef>
              <c:f>'Est.(35x35)'!$Y$49:$Y$50</c:f>
              <c:numCache/>
            </c:numRef>
          </c:yVal>
          <c:smooth val="1"/>
        </c:ser>
        <c:ser>
          <c:idx val="2"/>
          <c:order val="3"/>
          <c:tx>
            <c:v>Limite inferiore del dominio di crisi (per e=20 mm)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'Est.(35x35)'!$X$51:$X$52</c:f>
              <c:numCache/>
            </c:numRef>
          </c:xVal>
          <c:yVal>
            <c:numRef>
              <c:f>'Est.(35x35)'!$Y$51:$Y$52</c:f>
              <c:numCache/>
            </c:numRef>
          </c:yVal>
          <c:smooth val="1"/>
        </c:ser>
        <c:ser>
          <c:idx val="3"/>
          <c:order val="4"/>
          <c:tx>
            <c:v>Stato di sollecitazione nella sezione 7-9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'Est.(35x35)'!$H$3</c:f>
              <c:numCache/>
            </c:numRef>
          </c:xVal>
          <c:yVal>
            <c:numRef>
              <c:f>'Est.(35x35)'!$I$3</c:f>
              <c:numCache/>
            </c:numRef>
          </c:yVal>
          <c:smooth val="1"/>
        </c:ser>
        <c:ser>
          <c:idx val="4"/>
          <c:order val="5"/>
          <c:tx>
            <c:v>Stato di sollecitazione nella sezione 9-7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'Est.(35x35)'!$H$4</c:f>
              <c:numCache/>
            </c:numRef>
          </c:xVal>
          <c:yVal>
            <c:numRef>
              <c:f>'Est.(35x35)'!$I$4</c:f>
              <c:numCache/>
            </c:numRef>
          </c:yVal>
          <c:smooth val="1"/>
        </c:ser>
        <c:axId val="19953853"/>
        <c:axId val="45366950"/>
      </c:scatterChart>
      <c:valAx>
        <c:axId val="19953853"/>
        <c:scaling>
          <c:orientation val="minMax"/>
          <c:max val="2500"/>
          <c:min val="-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 (KN)</a:t>
                </a:r>
              </a:p>
            </c:rich>
          </c:tx>
          <c:layout>
            <c:manualLayout>
              <c:xMode val="factor"/>
              <c:yMode val="factor"/>
              <c:x val="0.005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366950"/>
        <c:crosses val="autoZero"/>
        <c:crossBetween val="midCat"/>
        <c:dispUnits/>
        <c:majorUnit val="500"/>
        <c:minorUnit val="100"/>
      </c:valAx>
      <c:valAx>
        <c:axId val="45366950"/>
        <c:scaling>
          <c:orientation val="minMax"/>
          <c:max val="13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9538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25"/>
          <c:y val="0.75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dbl" baseline="0">
                <a:latin typeface="Arial"/>
                <a:ea typeface="Arial"/>
                <a:cs typeface="Arial"/>
              </a:rPr>
              <a:t>Verifica di resistenza per sezioni pressoinflesse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{dominio di resistenza relativo ad una sezione (40x40) con 6</a:t>
            </a:r>
            <a:r>
              <a:rPr lang="en-US" cap="none" sz="1100" b="0" i="0" u="none" baseline="0"/>
              <a:t>F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16}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525"/>
          <c:w val="0.914"/>
          <c:h val="0.6315"/>
        </c:manualLayout>
      </c:layout>
      <c:scatterChart>
        <c:scatterStyle val="smoothMarker"/>
        <c:varyColors val="0"/>
        <c:ser>
          <c:idx val="0"/>
          <c:order val="0"/>
          <c:tx>
            <c:v>Curva d'interazione (dominio di crisi)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'Est. (40x40)'!$X$2:$X$45</c:f>
              <c:numCache/>
            </c:numRef>
          </c:xVal>
          <c:yVal>
            <c:numRef>
              <c:f>'Est. (40x40)'!$Y$2:$Y$45</c:f>
              <c:numCache/>
            </c:numRef>
          </c:yVal>
          <c:smooth val="1"/>
        </c:ser>
        <c:ser>
          <c:idx val="7"/>
          <c:order val="1"/>
          <c:tx>
            <c:v>Sollecitazioni limite per i vari campi di funzionamento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('Est. (40x40)'!$X$2,'Est. (40x40)'!$X$8,'Est. (40x40)'!$X$13,'Est. (40x40)'!$X$17,'Est. (40x40)'!$X$26,'Est. (40x40)'!$X$33,'Est. (40x40)'!$X$35,'Est. (40x40)'!$X$45)</c:f>
              <c:numCache/>
            </c:numRef>
          </c:xVal>
          <c:yVal>
            <c:numRef>
              <c:f>('Est. (40x40)'!$Y$2,'Est. (40x40)'!$Y$8,'Est. (40x40)'!$Y$13,'Est. (40x40)'!$Y$17,'Est. (40x40)'!$Y$26,'Est. (40x40)'!$Y$33,'Est. (40x40)'!$Y$35,'Est. (40x40)'!$Y$45)</c:f>
              <c:numCache/>
            </c:numRef>
          </c:yVal>
          <c:smooth val="1"/>
        </c:ser>
        <c:ser>
          <c:idx val="1"/>
          <c:order val="2"/>
          <c:tx>
            <c:v>Limite superiore del dominio di crisi (per N=2086.46 KN)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'Est. (40x40)'!$X$49:$X$50</c:f>
              <c:numCache/>
            </c:numRef>
          </c:xVal>
          <c:yVal>
            <c:numRef>
              <c:f>'Est. (40x40)'!$Y$49:$Y$50</c:f>
              <c:numCache/>
            </c:numRef>
          </c:yVal>
          <c:smooth val="1"/>
        </c:ser>
        <c:ser>
          <c:idx val="2"/>
          <c:order val="3"/>
          <c:tx>
            <c:v>Limite inferiore del domino di crisi (per e=20 mm)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'Est. (40x40)'!$X$51:$X$52</c:f>
              <c:numCache/>
            </c:numRef>
          </c:xVal>
          <c:yVal>
            <c:numRef>
              <c:f>'Est. (40x40)'!$Y$51:$Y$52</c:f>
              <c:numCache/>
            </c:numRef>
          </c:yVal>
          <c:smooth val="1"/>
        </c:ser>
        <c:ser>
          <c:idx val="3"/>
          <c:order val="4"/>
          <c:tx>
            <c:v>Stato di sollecitazione nella sezione 9-11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'Est. (40x40)'!$H$3</c:f>
              <c:numCache/>
            </c:numRef>
          </c:xVal>
          <c:yVal>
            <c:numRef>
              <c:f>'Est. (40x40)'!$I$3</c:f>
              <c:numCache/>
            </c:numRef>
          </c:yVal>
          <c:smooth val="1"/>
        </c:ser>
        <c:ser>
          <c:idx val="4"/>
          <c:order val="5"/>
          <c:tx>
            <c:v>Stato di sollecitazione nella sezione 11-9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'Est. (40x40)'!$H$4</c:f>
              <c:numCache/>
            </c:numRef>
          </c:xVal>
          <c:yVal>
            <c:numRef>
              <c:f>'Est. (40x40)'!$I$4</c:f>
              <c:numCache/>
            </c:numRef>
          </c:yVal>
          <c:smooth val="1"/>
        </c:ser>
        <c:axId val="5649367"/>
        <c:axId val="50844304"/>
      </c:scatterChart>
      <c:valAx>
        <c:axId val="5649367"/>
        <c:scaling>
          <c:orientation val="minMax"/>
          <c:max val="2750"/>
          <c:min val="-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 (KN)</a:t>
                </a:r>
              </a:p>
            </c:rich>
          </c:tx>
          <c:layout>
            <c:manualLayout>
              <c:xMode val="factor"/>
              <c:yMode val="factor"/>
              <c:x val="0.013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844304"/>
        <c:crosses val="autoZero"/>
        <c:crossBetween val="midCat"/>
        <c:dispUnits/>
        <c:majorUnit val="500"/>
        <c:minorUnit val="100"/>
      </c:valAx>
      <c:valAx>
        <c:axId val="508443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0.018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4936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7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dbl" baseline="0">
                <a:latin typeface="Arial"/>
                <a:ea typeface="Arial"/>
                <a:cs typeface="Arial"/>
              </a:rPr>
              <a:t>Verifica di resistenza per sezioni pressoinflesse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{dominio di resistenza per una sezione (45x45) con 4</a:t>
            </a:r>
            <a:r>
              <a:rPr lang="en-US" cap="none" sz="1100" b="0" i="0" u="none" baseline="0"/>
              <a:t>F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12 e 4</a:t>
            </a:r>
            <a:r>
              <a:rPr lang="en-US" cap="none" sz="1100" b="0" i="0" u="none" baseline="0"/>
              <a:t>F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16}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625"/>
          <c:w val="0.914"/>
          <c:h val="0.736"/>
        </c:manualLayout>
      </c:layout>
      <c:scatterChart>
        <c:scatterStyle val="smoothMarker"/>
        <c:varyColors val="0"/>
        <c:ser>
          <c:idx val="0"/>
          <c:order val="0"/>
          <c:tx>
            <c:v>Curva d'interazione (dominio di crisi)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'Est.(45x45)'!$X$2:$X$45</c:f>
              <c:numCache/>
            </c:numRef>
          </c:xVal>
          <c:yVal>
            <c:numRef>
              <c:f>'Est.(45x45)'!$Y$2:$Y$45</c:f>
              <c:numCache/>
            </c:numRef>
          </c:yVal>
          <c:smooth val="1"/>
        </c:ser>
        <c:ser>
          <c:idx val="7"/>
          <c:order val="1"/>
          <c:tx>
            <c:v>Sollecitazioni limite per i vari campi di funzionamento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('Est.(45x45)'!$X$2,'Est.(45x45)'!$X$8,'Est.(45x45)'!$X$13,'Est.(45x45)'!$X$17,'Est.(45x45)'!$X$26,'Est.(45x45)'!$X$33,'Est.(45x45)'!$X$35,'Est.(45x45)'!$X$45)</c:f>
              <c:numCache/>
            </c:numRef>
          </c:xVal>
          <c:yVal>
            <c:numRef>
              <c:f>('Est.(45x45)'!$Y$2,'Est.(45x45)'!$Y$8,'Est.(45x45)'!$Y$13,'Est.(45x45)'!$Y$17,'Est.(45x45)'!$Y$26,'Est.(45x45)'!$Y$33,'Est.(45x45)'!$Y$35,'Est.(45x45)'!$Y$45)</c:f>
              <c:numCache/>
            </c:numRef>
          </c:yVal>
          <c:smooth val="1"/>
        </c:ser>
        <c:ser>
          <c:idx val="1"/>
          <c:order val="2"/>
          <c:tx>
            <c:v>Limite superiore del dominio di crisi (per N=2552.52 KN)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'Est.(45x45)'!$X$49:$X$50</c:f>
              <c:numCache/>
            </c:numRef>
          </c:xVal>
          <c:yVal>
            <c:numRef>
              <c:f>'Est.(45x45)'!$Y$49:$Y$50</c:f>
              <c:numCache/>
            </c:numRef>
          </c:yVal>
          <c:smooth val="1"/>
        </c:ser>
        <c:ser>
          <c:idx val="2"/>
          <c:order val="3"/>
          <c:tx>
            <c:v>Limite inferiore del domino di crisi (per e=20 mm)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'Est.(45x45)'!$X$51:$X$52</c:f>
              <c:numCache/>
            </c:numRef>
          </c:xVal>
          <c:yVal>
            <c:numRef>
              <c:f>'Est.(45x45)'!$Y$51:$Y$52</c:f>
              <c:numCache/>
            </c:numRef>
          </c:yVal>
          <c:smooth val="1"/>
        </c:ser>
        <c:ser>
          <c:idx val="3"/>
          <c:order val="4"/>
          <c:tx>
            <c:v>Stato di sollecitazione nella sezione 11-13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'Est.(45x45)'!$H$3</c:f>
              <c:numCache/>
            </c:numRef>
          </c:xVal>
          <c:yVal>
            <c:numRef>
              <c:f>'Est.(45x45)'!$I$3</c:f>
              <c:numCache/>
            </c:numRef>
          </c:yVal>
          <c:smooth val="1"/>
        </c:ser>
        <c:ser>
          <c:idx val="4"/>
          <c:order val="5"/>
          <c:tx>
            <c:v>Stato di sollecitazione nella sezione 13-11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'Est.(45x45)'!$H$4</c:f>
              <c:numCache/>
            </c:numRef>
          </c:xVal>
          <c:yVal>
            <c:numRef>
              <c:f>'Est.(45x45)'!$I$4</c:f>
              <c:numCache/>
            </c:numRef>
          </c:yVal>
          <c:smooth val="1"/>
        </c:ser>
        <c:axId val="54945553"/>
        <c:axId val="24747930"/>
      </c:scatterChart>
      <c:valAx>
        <c:axId val="54945553"/>
        <c:scaling>
          <c:orientation val="minMax"/>
          <c:max val="3500"/>
          <c:min val="-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 (KN)</a:t>
                </a:r>
              </a:p>
            </c:rich>
          </c:tx>
          <c:layout>
            <c:manualLayout>
              <c:xMode val="factor"/>
              <c:yMode val="factor"/>
              <c:x val="0.000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747930"/>
        <c:crosses val="autoZero"/>
        <c:crossBetween val="midCat"/>
        <c:dispUnits/>
        <c:majorUnit val="500"/>
        <c:minorUnit val="100"/>
      </c:valAx>
      <c:valAx>
        <c:axId val="24747930"/>
        <c:scaling>
          <c:orientation val="minMax"/>
          <c:max val="23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945553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25"/>
          <c:y val="0.83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28575</xdr:rowOff>
    </xdr:from>
    <xdr:to>
      <xdr:col>10</xdr:col>
      <xdr:colOff>676275</xdr:colOff>
      <xdr:row>51</xdr:row>
      <xdr:rowOff>152400</xdr:rowOff>
    </xdr:to>
    <xdr:graphicFrame>
      <xdr:nvGraphicFramePr>
        <xdr:cNvPr id="1" name="Chart 2"/>
        <xdr:cNvGraphicFramePr/>
      </xdr:nvGraphicFramePr>
      <xdr:xfrm>
        <a:off x="1295400" y="1885950"/>
        <a:ext cx="525780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104775</xdr:rowOff>
    </xdr:from>
    <xdr:to>
      <xdr:col>11</xdr:col>
      <xdr:colOff>0</xdr:colOff>
      <xdr:row>50</xdr:row>
      <xdr:rowOff>123825</xdr:rowOff>
    </xdr:to>
    <xdr:graphicFrame>
      <xdr:nvGraphicFramePr>
        <xdr:cNvPr id="1" name="Chart 3"/>
        <xdr:cNvGraphicFramePr/>
      </xdr:nvGraphicFramePr>
      <xdr:xfrm>
        <a:off x="1419225" y="1819275"/>
        <a:ext cx="523875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104775</xdr:rowOff>
    </xdr:from>
    <xdr:to>
      <xdr:col>11</xdr:col>
      <xdr:colOff>0</xdr:colOff>
      <xdr:row>53</xdr:row>
      <xdr:rowOff>161925</xdr:rowOff>
    </xdr:to>
    <xdr:graphicFrame>
      <xdr:nvGraphicFramePr>
        <xdr:cNvPr id="1" name="Chart 3"/>
        <xdr:cNvGraphicFramePr/>
      </xdr:nvGraphicFramePr>
      <xdr:xfrm>
        <a:off x="1419225" y="1819275"/>
        <a:ext cx="5257800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104775</xdr:rowOff>
    </xdr:from>
    <xdr:to>
      <xdr:col>11</xdr:col>
      <xdr:colOff>0</xdr:colOff>
      <xdr:row>53</xdr:row>
      <xdr:rowOff>142875</xdr:rowOff>
    </xdr:to>
    <xdr:graphicFrame>
      <xdr:nvGraphicFramePr>
        <xdr:cNvPr id="1" name="Chart 3"/>
        <xdr:cNvGraphicFramePr/>
      </xdr:nvGraphicFramePr>
      <xdr:xfrm>
        <a:off x="1419225" y="1819275"/>
        <a:ext cx="525780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28575</xdr:rowOff>
    </xdr:from>
    <xdr:to>
      <xdr:col>10</xdr:col>
      <xdr:colOff>676275</xdr:colOff>
      <xdr:row>51</xdr:row>
      <xdr:rowOff>152400</xdr:rowOff>
    </xdr:to>
    <xdr:graphicFrame>
      <xdr:nvGraphicFramePr>
        <xdr:cNvPr id="1" name="Chart 1"/>
        <xdr:cNvGraphicFramePr/>
      </xdr:nvGraphicFramePr>
      <xdr:xfrm>
        <a:off x="1381125" y="1743075"/>
        <a:ext cx="525780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28575</xdr:rowOff>
    </xdr:from>
    <xdr:to>
      <xdr:col>10</xdr:col>
      <xdr:colOff>676275</xdr:colOff>
      <xdr:row>51</xdr:row>
      <xdr:rowOff>152400</xdr:rowOff>
    </xdr:to>
    <xdr:graphicFrame>
      <xdr:nvGraphicFramePr>
        <xdr:cNvPr id="1" name="Chart 1"/>
        <xdr:cNvGraphicFramePr/>
      </xdr:nvGraphicFramePr>
      <xdr:xfrm>
        <a:off x="1381125" y="1819275"/>
        <a:ext cx="525780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104775</xdr:rowOff>
    </xdr:from>
    <xdr:to>
      <xdr:col>11</xdr:col>
      <xdr:colOff>0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1419225" y="1819275"/>
        <a:ext cx="52578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104775</xdr:rowOff>
    </xdr:from>
    <xdr:to>
      <xdr:col>11</xdr:col>
      <xdr:colOff>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1419225" y="1819275"/>
        <a:ext cx="5257800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104775</xdr:rowOff>
    </xdr:from>
    <xdr:to>
      <xdr:col>11</xdr:col>
      <xdr:colOff>0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1419225" y="1819275"/>
        <a:ext cx="525780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zoomScale="75" zoomScaleNormal="75" workbookViewId="0" topLeftCell="A17">
      <selection activeCell="E2" sqref="E2"/>
    </sheetView>
  </sheetViews>
  <sheetFormatPr defaultColWidth="9.140625" defaultRowHeight="12.75"/>
  <cols>
    <col min="1" max="1" width="5.140625" style="0" bestFit="1" customWidth="1"/>
    <col min="2" max="2" width="4.28125" style="0" customWidth="1"/>
    <col min="3" max="3" width="4.140625" style="0" bestFit="1" customWidth="1"/>
    <col min="4" max="4" width="4.28125" style="0" customWidth="1"/>
    <col min="5" max="5" width="10.57421875" style="0" customWidth="1"/>
    <col min="6" max="6" width="10.7109375" style="0" customWidth="1"/>
    <col min="7" max="7" width="12.7109375" style="0" customWidth="1"/>
    <col min="8" max="9" width="12.8515625" style="0" customWidth="1"/>
    <col min="10" max="10" width="10.57421875" style="0" customWidth="1"/>
    <col min="11" max="11" width="10.7109375" style="0" customWidth="1"/>
    <col min="12" max="12" width="1.7109375" style="0" customWidth="1"/>
    <col min="13" max="13" width="3.140625" style="0" bestFit="1" customWidth="1"/>
    <col min="14" max="14" width="8.140625" style="0" bestFit="1" customWidth="1"/>
    <col min="15" max="16" width="7.57421875" style="0" bestFit="1" customWidth="1"/>
    <col min="17" max="17" width="8.140625" style="0" bestFit="1" customWidth="1"/>
    <col min="18" max="18" width="8.57421875" style="0" bestFit="1" customWidth="1"/>
    <col min="19" max="19" width="5.57421875" style="0" bestFit="1" customWidth="1"/>
    <col min="20" max="20" width="7.140625" style="0" bestFit="1" customWidth="1"/>
    <col min="21" max="21" width="7.140625" style="0" customWidth="1"/>
    <col min="22" max="22" width="8.00390625" style="0" bestFit="1" customWidth="1"/>
    <col min="23" max="23" width="9.00390625" style="0" bestFit="1" customWidth="1"/>
    <col min="24" max="24" width="7.57421875" style="0" bestFit="1" customWidth="1"/>
    <col min="25" max="25" width="5.57421875" style="0" bestFit="1" customWidth="1"/>
  </cols>
  <sheetData>
    <row r="1" spans="1:33" ht="20.25" thickBot="1">
      <c r="A1" s="176" t="s">
        <v>7</v>
      </c>
      <c r="B1" s="141" t="s">
        <v>16</v>
      </c>
      <c r="C1" s="184" t="s">
        <v>19</v>
      </c>
      <c r="D1" s="148">
        <f>0.83*D3/1.6</f>
        <v>15.562499999999998</v>
      </c>
      <c r="E1" s="96"/>
      <c r="F1" s="96"/>
      <c r="G1" s="145" t="s">
        <v>15</v>
      </c>
      <c r="H1" s="146"/>
      <c r="I1" s="147"/>
      <c r="J1" s="2"/>
      <c r="K1" s="96"/>
      <c r="M1" s="26"/>
      <c r="N1" s="27" t="s">
        <v>10</v>
      </c>
      <c r="O1" s="28" t="s">
        <v>5</v>
      </c>
      <c r="P1" s="56" t="s">
        <v>33</v>
      </c>
      <c r="Q1" s="56" t="s">
        <v>40</v>
      </c>
      <c r="R1" s="56" t="s">
        <v>39</v>
      </c>
      <c r="S1" s="56" t="s">
        <v>36</v>
      </c>
      <c r="T1" s="56" t="s">
        <v>37</v>
      </c>
      <c r="U1" s="56" t="s">
        <v>38</v>
      </c>
      <c r="V1" s="55" t="s">
        <v>34</v>
      </c>
      <c r="W1" s="28" t="s">
        <v>35</v>
      </c>
      <c r="X1" s="29" t="s">
        <v>34</v>
      </c>
      <c r="Y1" s="30" t="s">
        <v>35</v>
      </c>
      <c r="AA1" s="69"/>
      <c r="AB1" s="2"/>
      <c r="AC1" s="2"/>
      <c r="AD1" s="2"/>
      <c r="AE1" s="2"/>
      <c r="AF1" s="2"/>
      <c r="AG1" s="69"/>
    </row>
    <row r="2" spans="1:33" ht="17.25" thickTop="1">
      <c r="A2" s="177"/>
      <c r="B2" s="139"/>
      <c r="C2" s="185"/>
      <c r="D2" s="149"/>
      <c r="E2" s="96"/>
      <c r="F2" s="96"/>
      <c r="G2" s="101"/>
      <c r="H2" s="6" t="s">
        <v>8</v>
      </c>
      <c r="I2" s="66" t="s">
        <v>9</v>
      </c>
      <c r="J2" s="2"/>
      <c r="K2" s="96"/>
      <c r="M2" s="82"/>
      <c r="N2" s="86">
        <f>O2/D46</f>
        <v>-3759.3947368421054</v>
      </c>
      <c r="O2" s="83">
        <v>-999999</v>
      </c>
      <c r="P2" s="58">
        <v>0</v>
      </c>
      <c r="Q2" s="58">
        <f>D25</f>
        <v>0.01</v>
      </c>
      <c r="R2" s="85">
        <v>0.01</v>
      </c>
      <c r="S2" s="58">
        <v>0</v>
      </c>
      <c r="T2" s="58">
        <f>D8</f>
        <v>326.0869565217392</v>
      </c>
      <c r="U2" s="58">
        <f>MIN(R2*D31,D5)</f>
        <v>326.0869565217392</v>
      </c>
      <c r="V2" s="37">
        <f>(S2*D52*0.8*O2)-((D38*T2)+(D36*U2))</f>
        <v>-147391.3043478261</v>
      </c>
      <c r="W2" s="13">
        <f>((S2*D52*0.8*O2)*((0.5*(D46+D40))-(0.4*O2)))+(((D38*T2)-(D36*U2))*0.5*(D46-D43))</f>
        <v>0</v>
      </c>
      <c r="X2" s="20">
        <f>V2/1000</f>
        <v>-147.39130434782612</v>
      </c>
      <c r="Y2" s="21">
        <f>W2/POWER(1000,2)</f>
        <v>0</v>
      </c>
      <c r="AA2" s="69"/>
      <c r="AB2" s="69"/>
      <c r="AC2" s="2"/>
      <c r="AD2" s="2"/>
      <c r="AE2" s="2"/>
      <c r="AF2" s="2"/>
      <c r="AG2" s="69"/>
    </row>
    <row r="3" spans="1:33" ht="15.75" customHeight="1">
      <c r="A3" s="177"/>
      <c r="B3" s="139"/>
      <c r="C3" s="167" t="s">
        <v>20</v>
      </c>
      <c r="D3" s="160">
        <v>30</v>
      </c>
      <c r="E3" s="97"/>
      <c r="F3" s="97"/>
      <c r="G3" s="23" t="s">
        <v>47</v>
      </c>
      <c r="H3" s="7">
        <v>229.79</v>
      </c>
      <c r="I3" s="65">
        <v>14.68</v>
      </c>
      <c r="J3" s="2"/>
      <c r="K3" s="97"/>
      <c r="M3" s="120">
        <v>1</v>
      </c>
      <c r="N3" s="8">
        <v>-1</v>
      </c>
      <c r="O3" s="31">
        <f>N3*D46</f>
        <v>-266</v>
      </c>
      <c r="P3" s="31">
        <v>0</v>
      </c>
      <c r="Q3" s="31">
        <f>D25</f>
        <v>0.01</v>
      </c>
      <c r="R3" s="33">
        <f>Q3*(D43-O3)/(D46-O3)</f>
        <v>0.005639097744360902</v>
      </c>
      <c r="S3" s="32">
        <v>0</v>
      </c>
      <c r="T3" s="32">
        <f>D8</f>
        <v>326.0869565217392</v>
      </c>
      <c r="U3" s="32">
        <f>MIN(R3*D31,D5)</f>
        <v>326.0869565217392</v>
      </c>
      <c r="V3" s="36">
        <f>(S3*D52*0.8*O3)-((D38*T3)+(D36*U3))</f>
        <v>-147391.3043478261</v>
      </c>
      <c r="W3" s="7">
        <f>((S3*D52*0.8*O3)*((0.5*(D46+D40))-(0.4*O3)))+(((D38*T3)-(D36*U3))*0.5*(D46-D43))</f>
        <v>0</v>
      </c>
      <c r="X3" s="18">
        <f>V3/1000</f>
        <v>-147.39130434782612</v>
      </c>
      <c r="Y3" s="19">
        <f>W3/POWER(1000,2)</f>
        <v>0</v>
      </c>
      <c r="AA3" s="69"/>
      <c r="AB3" s="2"/>
      <c r="AC3" s="2"/>
      <c r="AD3" s="2"/>
      <c r="AE3" s="2"/>
      <c r="AF3" s="2"/>
      <c r="AG3" s="69"/>
    </row>
    <row r="4" spans="1:33" ht="15.75" customHeight="1" thickBot="1">
      <c r="A4" s="177"/>
      <c r="B4" s="139"/>
      <c r="C4" s="168"/>
      <c r="D4" s="161"/>
      <c r="E4" s="97"/>
      <c r="F4" s="97"/>
      <c r="G4" s="24" t="s">
        <v>48</v>
      </c>
      <c r="H4" s="4">
        <v>240.82</v>
      </c>
      <c r="I4" s="67">
        <v>13.35</v>
      </c>
      <c r="J4" s="2"/>
      <c r="K4" s="97"/>
      <c r="M4" s="120"/>
      <c r="N4" s="9">
        <v>-0.5</v>
      </c>
      <c r="O4" s="31">
        <f>N4*D46</f>
        <v>-133</v>
      </c>
      <c r="P4" s="31">
        <v>0</v>
      </c>
      <c r="Q4" s="31">
        <f>D25</f>
        <v>0.01</v>
      </c>
      <c r="R4" s="33">
        <f>Q4*(D43-O4)/(D46-O4)</f>
        <v>0.0041854636591478695</v>
      </c>
      <c r="S4" s="32">
        <v>0</v>
      </c>
      <c r="T4" s="32">
        <f>D8</f>
        <v>326.0869565217392</v>
      </c>
      <c r="U4" s="32">
        <f>MIN(R4*D31,D5)</f>
        <v>326.0869565217392</v>
      </c>
      <c r="V4" s="36">
        <f>(S4*D52*0.8*O4)-((D38*T4)+(D36*U4))</f>
        <v>-147391.3043478261</v>
      </c>
      <c r="W4" s="7">
        <f>((S4*D52*0.8*O4)*((0.5*(D46+D40))-(0.4*O4)))+(((D38*T4)-(D36*U4))*0.5*(D46-D43))</f>
        <v>0</v>
      </c>
      <c r="X4" s="18">
        <f aca="true" t="shared" si="0" ref="X4:X44">V4/1000</f>
        <v>-147.39130434782612</v>
      </c>
      <c r="Y4" s="19">
        <f aca="true" t="shared" si="1" ref="Y4:Y44">W4/POWER(1000,2)</f>
        <v>0</v>
      </c>
      <c r="AA4" s="69"/>
      <c r="AB4" s="2"/>
      <c r="AC4" s="2"/>
      <c r="AD4" s="2"/>
      <c r="AE4" s="2"/>
      <c r="AF4" s="2"/>
      <c r="AG4" s="69"/>
    </row>
    <row r="5" spans="1:33" ht="16.5" thickTop="1">
      <c r="A5" s="177"/>
      <c r="B5" s="139"/>
      <c r="C5" s="169" t="s">
        <v>21</v>
      </c>
      <c r="D5" s="186">
        <f>D11/1.15</f>
        <v>326.0869565217392</v>
      </c>
      <c r="E5" s="98"/>
      <c r="F5" s="98"/>
      <c r="G5" s="23" t="s">
        <v>49</v>
      </c>
      <c r="H5" s="7">
        <v>501.63</v>
      </c>
      <c r="I5" s="65">
        <v>12.22</v>
      </c>
      <c r="J5" s="2"/>
      <c r="K5" s="98"/>
      <c r="M5" s="120"/>
      <c r="N5" s="8">
        <v>-0.25</v>
      </c>
      <c r="O5" s="31">
        <f>N5*D46</f>
        <v>-66.5</v>
      </c>
      <c r="P5" s="31">
        <v>0</v>
      </c>
      <c r="Q5" s="31">
        <f>D25</f>
        <v>0.01</v>
      </c>
      <c r="R5" s="33">
        <f>Q5*(D43-O5)/(D46-O5)</f>
        <v>0.003022556390977444</v>
      </c>
      <c r="S5" s="31">
        <v>0</v>
      </c>
      <c r="T5" s="31">
        <f>D8</f>
        <v>326.0869565217392</v>
      </c>
      <c r="U5" s="32">
        <f>MIN(R5*D31,D5)</f>
        <v>326.0869565217392</v>
      </c>
      <c r="V5" s="36">
        <f>(S5*D52*0.8*O5)-((D38*T5)+(D36*U5))</f>
        <v>-147391.3043478261</v>
      </c>
      <c r="W5" s="7">
        <f>((S5*D52*0.8*O5)*((0.5*(D46+D40))-(0.4*O5)))+(((D38*T5)-(D36*U5))*0.5*(D46-D43))</f>
        <v>0</v>
      </c>
      <c r="X5" s="18">
        <f t="shared" si="0"/>
        <v>-147.39130434782612</v>
      </c>
      <c r="Y5" s="19">
        <f t="shared" si="1"/>
        <v>0</v>
      </c>
      <c r="AA5" s="69"/>
      <c r="AB5" s="2"/>
      <c r="AC5" s="2"/>
      <c r="AD5" s="2"/>
      <c r="AE5" s="2"/>
      <c r="AF5" s="2"/>
      <c r="AG5" s="69"/>
    </row>
    <row r="6" spans="1:33" ht="15.75">
      <c r="A6" s="177"/>
      <c r="B6" s="139"/>
      <c r="C6" s="170"/>
      <c r="D6" s="151"/>
      <c r="E6" s="98"/>
      <c r="F6" s="98"/>
      <c r="G6" s="24" t="s">
        <v>50</v>
      </c>
      <c r="H6" s="4">
        <v>512.66</v>
      </c>
      <c r="I6" s="67">
        <v>12.41</v>
      </c>
      <c r="J6" s="2"/>
      <c r="K6" s="98"/>
      <c r="M6" s="120"/>
      <c r="N6" s="9">
        <v>-0.1</v>
      </c>
      <c r="O6" s="39">
        <f>N6*D46</f>
        <v>-26.6</v>
      </c>
      <c r="P6" s="39">
        <v>0</v>
      </c>
      <c r="Q6" s="39">
        <f>D25</f>
        <v>0.01</v>
      </c>
      <c r="R6" s="33">
        <f>Q6*(D43-O6)/(D46-O6)</f>
        <v>0.0020710868079289128</v>
      </c>
      <c r="S6" s="39">
        <v>0</v>
      </c>
      <c r="T6" s="39">
        <f>D8</f>
        <v>326.0869565217392</v>
      </c>
      <c r="U6" s="32">
        <f>MIN(R6*D31,D5)</f>
        <v>326.0869565217392</v>
      </c>
      <c r="V6" s="36">
        <f>(S6*D52*0.8*O6)-((D38*T6)+(D36*U6))</f>
        <v>-147391.3043478261</v>
      </c>
      <c r="W6" s="7">
        <f>((S6*D52*0.8*O6)*((0.5*(D46+D40))-(0.4*O6)))+(((D38*T6)-(D36*U6))*0.5*(D46-D43))</f>
        <v>0</v>
      </c>
      <c r="X6" s="18">
        <f>V6/1000</f>
        <v>-147.39130434782612</v>
      </c>
      <c r="Y6" s="19">
        <f>W6/POWER(1000,2)</f>
        <v>0</v>
      </c>
      <c r="AA6" s="69"/>
      <c r="AB6" s="2"/>
      <c r="AC6" s="2"/>
      <c r="AD6" s="2"/>
      <c r="AE6" s="2"/>
      <c r="AF6" s="2"/>
      <c r="AG6" s="69"/>
    </row>
    <row r="7" spans="1:33" ht="15.75">
      <c r="A7" s="177"/>
      <c r="B7" s="139"/>
      <c r="C7" s="171"/>
      <c r="D7" s="152"/>
      <c r="E7" s="98"/>
      <c r="F7" s="98"/>
      <c r="G7" s="24" t="s">
        <v>51</v>
      </c>
      <c r="H7" s="4">
        <v>773.48</v>
      </c>
      <c r="I7" s="67">
        <v>11.92</v>
      </c>
      <c r="J7" s="2"/>
      <c r="K7" s="98"/>
      <c r="L7" s="1"/>
      <c r="M7" s="120"/>
      <c r="N7" s="51">
        <f>O7/D46</f>
        <v>-0.036206363451256024</v>
      </c>
      <c r="O7" s="39">
        <f>-((R7*D46)-(Q7*D43))/(Q7-R7)</f>
        <v>-9.630892678034103</v>
      </c>
      <c r="P7" s="31">
        <v>0</v>
      </c>
      <c r="Q7" s="31">
        <f>D25</f>
        <v>0.01</v>
      </c>
      <c r="R7" s="59">
        <f>D22</f>
        <v>0.001582946390882229</v>
      </c>
      <c r="S7" s="31">
        <v>0</v>
      </c>
      <c r="T7" s="31">
        <f>D8</f>
        <v>326.0869565217392</v>
      </c>
      <c r="U7" s="32">
        <f>MIN(R7*D31,D5)</f>
        <v>326.0869565217392</v>
      </c>
      <c r="V7" s="36">
        <f>(S7*D52*0.8*O7)-((D38*T7)+(D36*U7))</f>
        <v>-147391.3043478261</v>
      </c>
      <c r="W7" s="36">
        <f>((S7*D52*0.8*O7)*((0.5*(D46+D40))-(0.4*O7)))+(((D38*T7)-(D36*U7))*0.5*(D46-D43))</f>
        <v>0</v>
      </c>
      <c r="X7" s="18">
        <f t="shared" si="0"/>
        <v>-147.39130434782612</v>
      </c>
      <c r="Y7" s="19">
        <f t="shared" si="1"/>
        <v>0</v>
      </c>
      <c r="AA7" s="69"/>
      <c r="AB7" s="2"/>
      <c r="AC7" s="2"/>
      <c r="AD7" s="2"/>
      <c r="AE7" s="2"/>
      <c r="AF7" s="2"/>
      <c r="AG7" s="69"/>
    </row>
    <row r="8" spans="1:33" ht="16.5" thickBot="1">
      <c r="A8" s="177"/>
      <c r="B8" s="139"/>
      <c r="C8" s="172" t="s">
        <v>22</v>
      </c>
      <c r="D8" s="150">
        <f>D11/1.15</f>
        <v>326.0869565217392</v>
      </c>
      <c r="E8" s="98"/>
      <c r="F8" s="98"/>
      <c r="G8" s="3" t="s">
        <v>52</v>
      </c>
      <c r="H8" s="5">
        <v>784.51</v>
      </c>
      <c r="I8" s="68">
        <v>11.24</v>
      </c>
      <c r="J8" s="2"/>
      <c r="K8" s="98"/>
      <c r="M8" s="11"/>
      <c r="N8" s="108">
        <v>0</v>
      </c>
      <c r="O8" s="15">
        <f>N8*D46</f>
        <v>0</v>
      </c>
      <c r="P8" s="62">
        <f>Q8*O8/(D46-O8)</f>
        <v>0</v>
      </c>
      <c r="Q8" s="15">
        <f>D25</f>
        <v>0.01</v>
      </c>
      <c r="R8" s="57">
        <f>Q8*(D43-O8)/(D46-O8)</f>
        <v>0.0012781954887218045</v>
      </c>
      <c r="S8" s="15">
        <f>1000*0.85*D1*(P8-(250*P8^2))</f>
        <v>0</v>
      </c>
      <c r="T8" s="15">
        <f>D8</f>
        <v>326.0869565217392</v>
      </c>
      <c r="U8" s="58">
        <f>MIN(R8*D31,D5)</f>
        <v>263.30827067669173</v>
      </c>
      <c r="V8" s="37">
        <f>(S8*D52*0.8*O8)-((D38*T8)+(D36*U8))</f>
        <v>-133203.3213468454</v>
      </c>
      <c r="W8" s="37">
        <f>((S8*D52*0.8*O8)*((0.5*(D46+D40))-(0.4*O8)))+(((D38*T8)-(D36*U8))*0.5*(D46-D43))</f>
        <v>1645806.0281137642</v>
      </c>
      <c r="X8" s="20">
        <f t="shared" si="0"/>
        <v>-133.2033213468454</v>
      </c>
      <c r="Y8" s="21">
        <f t="shared" si="1"/>
        <v>1.6458060281137643</v>
      </c>
      <c r="AA8" s="69"/>
      <c r="AB8" s="2"/>
      <c r="AC8" s="2"/>
      <c r="AD8" s="2"/>
      <c r="AE8" s="2"/>
      <c r="AF8" s="2"/>
      <c r="AG8" s="69"/>
    </row>
    <row r="9" spans="1:33" ht="12.75">
      <c r="A9" s="177"/>
      <c r="B9" s="139"/>
      <c r="C9" s="170"/>
      <c r="D9" s="151"/>
      <c r="E9" s="98"/>
      <c r="F9" s="98"/>
      <c r="G9" s="98"/>
      <c r="H9" s="98"/>
      <c r="I9" s="98"/>
      <c r="J9" s="98"/>
      <c r="K9" s="98"/>
      <c r="M9" s="120" t="s">
        <v>14</v>
      </c>
      <c r="N9" s="2">
        <v>0.05</v>
      </c>
      <c r="O9" s="31">
        <f>N9*D46</f>
        <v>13.3</v>
      </c>
      <c r="P9" s="34">
        <f>Q9*O9/(D46-O9)</f>
        <v>0.0005263157894736843</v>
      </c>
      <c r="Q9" s="31">
        <f>D25</f>
        <v>0.01</v>
      </c>
      <c r="R9" s="34">
        <f>Q9*(D43-O9)/(D46-O9)</f>
        <v>0.0008191531460229521</v>
      </c>
      <c r="S9" s="31">
        <f>1000*0.85*D1*(P9-(250*P9^2))</f>
        <v>6.046095914127424</v>
      </c>
      <c r="T9" s="31">
        <f>D8</f>
        <v>326.0869565217392</v>
      </c>
      <c r="U9" s="31">
        <f>MIN(R9*D31,D5)</f>
        <v>168.74554808072813</v>
      </c>
      <c r="V9" s="36">
        <f>(S9*D52*0.8*O9)-((D38*T9)+(D36*U9))</f>
        <v>-92533.00788226289</v>
      </c>
      <c r="W9" s="36">
        <f>((S9*D52*0.8*O9)*((0.5*(D46+D40))-(0.4*O9)))+(((D38*T9)-(D36*U9))*0.5*(D46-D43))</f>
        <v>6917061.672373757</v>
      </c>
      <c r="X9" s="18">
        <f t="shared" si="0"/>
        <v>-92.53300788226288</v>
      </c>
      <c r="Y9" s="19">
        <f t="shared" si="1"/>
        <v>6.917061672373757</v>
      </c>
      <c r="AA9" s="69"/>
      <c r="AB9" s="2"/>
      <c r="AC9" s="69"/>
      <c r="AD9" s="69"/>
      <c r="AE9" s="69"/>
      <c r="AF9" s="69"/>
      <c r="AG9" s="69"/>
    </row>
    <row r="10" spans="1:25" ht="12.75">
      <c r="A10" s="177"/>
      <c r="B10" s="139"/>
      <c r="C10" s="171"/>
      <c r="D10" s="152"/>
      <c r="E10" s="98"/>
      <c r="F10" s="98"/>
      <c r="G10" s="98"/>
      <c r="H10" s="98"/>
      <c r="I10" s="98"/>
      <c r="J10" s="98"/>
      <c r="K10" s="98"/>
      <c r="M10" s="120"/>
      <c r="N10" s="9">
        <v>0.1</v>
      </c>
      <c r="O10" s="39">
        <f>N10*D46</f>
        <v>26.6</v>
      </c>
      <c r="P10" s="48">
        <f>Q10*O10/(D46-O10)</f>
        <v>0.0011111111111111111</v>
      </c>
      <c r="Q10" s="39">
        <f>D25</f>
        <v>0.01</v>
      </c>
      <c r="R10" s="48">
        <f>Q10*(D43-O10)/(D46-O10)</f>
        <v>0.0003091060985797827</v>
      </c>
      <c r="S10" s="39">
        <f>1000*0.85*D1*(P10-(250*P10^2))</f>
        <v>10.615162037037036</v>
      </c>
      <c r="T10" s="39">
        <f>D8</f>
        <v>326.0869565217392</v>
      </c>
      <c r="U10" s="39">
        <f>MIN(R10*D31,D5)</f>
        <v>63.67585630743524</v>
      </c>
      <c r="V10" s="45">
        <f>(S10*D52*0.8*O10)-((D38*T10)+(D36*U10))</f>
        <v>-20319.201254948974</v>
      </c>
      <c r="W10" s="45">
        <f>((S10*D52*0.8*O10)*((0.5*(D46+D40))-(0.4*O10)))+(((D38*T10)-(D36*U10))*0.5*(D46-D43))</f>
        <v>16323405.620995969</v>
      </c>
      <c r="X10" s="52">
        <f t="shared" si="0"/>
        <v>-20.319201254948975</v>
      </c>
      <c r="Y10" s="60">
        <f t="shared" si="1"/>
        <v>16.323405620995967</v>
      </c>
    </row>
    <row r="11" spans="1:25" ht="12.75">
      <c r="A11" s="177"/>
      <c r="B11" s="139"/>
      <c r="C11" s="167" t="s">
        <v>23</v>
      </c>
      <c r="D11" s="162">
        <v>375</v>
      </c>
      <c r="E11" s="99"/>
      <c r="F11" s="99"/>
      <c r="G11" s="99"/>
      <c r="H11" s="99"/>
      <c r="I11" s="99"/>
      <c r="J11" s="99"/>
      <c r="K11" s="99"/>
      <c r="M11" s="120"/>
      <c r="N11" s="107">
        <f>O11/D46</f>
        <v>0.12781954887218044</v>
      </c>
      <c r="O11" s="31">
        <f>D43</f>
        <v>34</v>
      </c>
      <c r="P11" s="34">
        <f>Q11*O11/(D46-O11)</f>
        <v>0.0014655172413793104</v>
      </c>
      <c r="Q11" s="31">
        <f>D25</f>
        <v>0.01</v>
      </c>
      <c r="R11" s="54">
        <f>Q11*(D43-O11)/(D46-O11)</f>
        <v>0</v>
      </c>
      <c r="S11" s="31">
        <f>1000*0.85*D1*(P11-(250*P11^2))</f>
        <v>12.283399366453626</v>
      </c>
      <c r="T11" s="31">
        <f>D8</f>
        <v>326.0869565217392</v>
      </c>
      <c r="U11" s="31">
        <f>MAX(R11*D31,-D5)</f>
        <v>0</v>
      </c>
      <c r="V11" s="36">
        <f>(S11*D52*0.8*O11)-((D38*T11)+(D36*U11))</f>
        <v>26536.886656348535</v>
      </c>
      <c r="W11" s="36">
        <f>((S11*D52*0.8*O11)*((0.5*(D46+D40))-(0.4*O11)))+(((D38*T11)-(D36*U11))*0.5*(D46-D43))</f>
        <v>22220413.948621593</v>
      </c>
      <c r="X11" s="18">
        <f t="shared" si="0"/>
        <v>26.536886656348535</v>
      </c>
      <c r="Y11" s="19">
        <f t="shared" si="1"/>
        <v>22.220413948621594</v>
      </c>
    </row>
    <row r="12" spans="1:25" ht="15.75" customHeight="1" thickBot="1">
      <c r="A12" s="177"/>
      <c r="B12" s="142"/>
      <c r="C12" s="168"/>
      <c r="D12" s="163"/>
      <c r="E12" s="99"/>
      <c r="F12" s="99"/>
      <c r="G12" s="99"/>
      <c r="H12" s="99"/>
      <c r="I12" s="99"/>
      <c r="J12" s="99"/>
      <c r="K12" s="99"/>
      <c r="M12" s="120"/>
      <c r="N12" s="2">
        <v>0.15</v>
      </c>
      <c r="O12" s="31">
        <f>N12*D46</f>
        <v>39.9</v>
      </c>
      <c r="P12" s="34">
        <f>Q12*O12/(D46-O12)</f>
        <v>0.0017647058823529412</v>
      </c>
      <c r="Q12" s="31">
        <f>D25</f>
        <v>0.01</v>
      </c>
      <c r="R12" s="34">
        <f>Q12*(D43-O12)/(D46-O12)</f>
        <v>-0.00026094648385670055</v>
      </c>
      <c r="S12" s="31">
        <f>1000*0.85*D1*(P12-(250*P12^2))</f>
        <v>13.045036764705879</v>
      </c>
      <c r="T12" s="31">
        <f>D8</f>
        <v>326.0869565217392</v>
      </c>
      <c r="U12" s="31">
        <f>MAX(R12*D31,-D5)</f>
        <v>-53.75497567448031</v>
      </c>
      <c r="V12" s="36">
        <f>(S12*D52*0.8*O12)-((D38*T12)+(D36*U12))</f>
        <v>63372.24438734297</v>
      </c>
      <c r="W12" s="36">
        <f>((S12*D52*0.8*O12)*((0.5*(D46+D40))-(0.4*O12)))+(((D38*T12)-(D36*U12))*0.5*(D46-D43))</f>
        <v>26702115.321220785</v>
      </c>
      <c r="X12" s="18">
        <f t="shared" si="0"/>
        <v>63.372244387342974</v>
      </c>
      <c r="Y12" s="19">
        <f t="shared" si="1"/>
        <v>26.702115321220784</v>
      </c>
    </row>
    <row r="13" spans="1:25" ht="13.5" thickTop="1">
      <c r="A13" s="177"/>
      <c r="B13" s="153" t="s">
        <v>12</v>
      </c>
      <c r="C13" s="180" t="s">
        <v>24</v>
      </c>
      <c r="D13" s="173">
        <v>0.0035</v>
      </c>
      <c r="E13" s="100"/>
      <c r="F13" s="100"/>
      <c r="G13" s="100"/>
      <c r="H13" s="100"/>
      <c r="I13" s="100"/>
      <c r="J13" s="100"/>
      <c r="K13" s="100"/>
      <c r="M13" s="11"/>
      <c r="N13" s="14">
        <f>1/6</f>
        <v>0.16666666666666666</v>
      </c>
      <c r="O13" s="15">
        <f>N13*D46</f>
        <v>44.33333333333333</v>
      </c>
      <c r="P13" s="63">
        <f>Q13*O13/(D46-O13)</f>
        <v>0.0019999999999999996</v>
      </c>
      <c r="Q13" s="15">
        <f>D25</f>
        <v>0.01</v>
      </c>
      <c r="R13" s="35">
        <f>Q13*(D43-O13)/(D46-O13)</f>
        <v>-0.00046616541353383434</v>
      </c>
      <c r="S13" s="15">
        <f>1000*0.85*D1*(P13-(250*P13^2))</f>
        <v>13.228124999999999</v>
      </c>
      <c r="T13" s="15">
        <f>D8</f>
        <v>326.0869565217392</v>
      </c>
      <c r="U13" s="15">
        <f>MAX(R13*D31,-D5)</f>
        <v>-96.03007518796987</v>
      </c>
      <c r="V13" s="37">
        <f>(S13*D52*0.8*O13)-((D38*T13)+(D36*U13))</f>
        <v>88754.39481856811</v>
      </c>
      <c r="W13" s="37">
        <f>((S13*D52*0.8*O13)*((0.5*(D46+D40))-(0.4*O13)))+(((D38*T13)-(D36*U13))*0.5*(D46-D43))</f>
        <v>29682389.703301728</v>
      </c>
      <c r="X13" s="20">
        <f t="shared" si="0"/>
        <v>88.7543948185681</v>
      </c>
      <c r="Y13" s="21">
        <f t="shared" si="1"/>
        <v>29.682389703301727</v>
      </c>
    </row>
    <row r="14" spans="1:25" ht="12.75">
      <c r="A14" s="177"/>
      <c r="B14" s="139"/>
      <c r="C14" s="165"/>
      <c r="D14" s="174"/>
      <c r="E14" s="100"/>
      <c r="F14" s="100"/>
      <c r="G14" s="100"/>
      <c r="H14" s="100"/>
      <c r="I14" s="100"/>
      <c r="J14" s="100"/>
      <c r="K14" s="100"/>
      <c r="M14" s="120" t="s">
        <v>13</v>
      </c>
      <c r="N14" s="9">
        <v>0.2</v>
      </c>
      <c r="O14" s="39">
        <f>N14*D46</f>
        <v>53.2</v>
      </c>
      <c r="P14" s="48">
        <f>Q14*O14/(D46-O14)</f>
        <v>0.0025</v>
      </c>
      <c r="Q14" s="39">
        <f>D25</f>
        <v>0.01</v>
      </c>
      <c r="R14" s="48">
        <f>Q14*(D43-O14)/(D46-O14)</f>
        <v>-0.0009022556390977445</v>
      </c>
      <c r="S14" s="39">
        <f>0.85*D1</f>
        <v>13.228124999999999</v>
      </c>
      <c r="T14" s="39">
        <f>D8</f>
        <v>326.0869565217392</v>
      </c>
      <c r="U14" s="39">
        <f>MAX(R14*D31,-D5)</f>
        <v>-185.86466165413538</v>
      </c>
      <c r="V14" s="45">
        <f>(S14*D52*0.8*O14)-((D38*T14)+(D36*U14))</f>
        <v>137206.46135992155</v>
      </c>
      <c r="W14" s="45">
        <f>((S14*D52*0.8*O14)*((0.5*(D46+D40))-(0.4*O14)))+(((D38*T14)-(D36*U14))*0.5*(D46-D43))</f>
        <v>35161706.84609873</v>
      </c>
      <c r="X14" s="52">
        <f>V14/1000</f>
        <v>137.20646135992155</v>
      </c>
      <c r="Y14" s="60">
        <f>W14/POWER(1000,2)</f>
        <v>35.16170684609873</v>
      </c>
    </row>
    <row r="15" spans="1:25" ht="12.75">
      <c r="A15" s="177"/>
      <c r="B15" s="139"/>
      <c r="C15" s="166"/>
      <c r="D15" s="175"/>
      <c r="E15" s="100"/>
      <c r="F15" s="100"/>
      <c r="G15" s="100"/>
      <c r="H15" s="100"/>
      <c r="I15" s="100"/>
      <c r="J15" s="100"/>
      <c r="K15" s="100"/>
      <c r="M15" s="120"/>
      <c r="N15" s="107">
        <f>O15/D46</f>
        <v>0.2470133058594007</v>
      </c>
      <c r="O15" s="39">
        <f>((-R15*D46)+(Q15*D43))/(-R15+Q15)</f>
        <v>65.70553935860059</v>
      </c>
      <c r="P15" s="34">
        <f>Q15*O15/(D46-O15)</f>
        <v>0.003280447155063246</v>
      </c>
      <c r="Q15" s="31">
        <f>D25</f>
        <v>0.01</v>
      </c>
      <c r="R15" s="53">
        <f>-D22</f>
        <v>-0.001582946390882229</v>
      </c>
      <c r="S15" s="31">
        <f>0.85*D1</f>
        <v>13.228124999999999</v>
      </c>
      <c r="T15" s="31">
        <f>D8</f>
        <v>326.0869565217392</v>
      </c>
      <c r="U15" s="31">
        <f>MAX(R15*D31,-D5)</f>
        <v>-326.0869565217392</v>
      </c>
      <c r="V15" s="36">
        <f>(S15*D52*0.8*O15)-((D38*T15)+(D36*U15))</f>
        <v>208598.6610787172</v>
      </c>
      <c r="W15" s="36">
        <f>((S15*D52*0.8*O15)*((0.5*(D46+D40))-(0.4*O15)))+(((D38*T15)-(D36*U15))*0.5*(D46-D43))</f>
        <v>42904755.451891795</v>
      </c>
      <c r="X15" s="18">
        <f t="shared" si="0"/>
        <v>208.5986610787172</v>
      </c>
      <c r="Y15" s="19">
        <f t="shared" si="1"/>
        <v>42.904755451891795</v>
      </c>
    </row>
    <row r="16" spans="1:25" ht="13.5" customHeight="1">
      <c r="A16" s="177"/>
      <c r="B16" s="139"/>
      <c r="C16" s="164" t="s">
        <v>25</v>
      </c>
      <c r="D16" s="179">
        <v>0.002</v>
      </c>
      <c r="E16" s="100"/>
      <c r="F16" s="100"/>
      <c r="G16" s="100"/>
      <c r="H16" s="100"/>
      <c r="I16" s="100"/>
      <c r="J16" s="100"/>
      <c r="K16" s="100"/>
      <c r="M16" s="120"/>
      <c r="N16" s="2">
        <v>0.25</v>
      </c>
      <c r="O16" s="31">
        <f>N16*D46</f>
        <v>66.5</v>
      </c>
      <c r="P16" s="34">
        <f>Q16*O16/(D46-O16)</f>
        <v>0.0033333333333333335</v>
      </c>
      <c r="Q16" s="31">
        <f>D25</f>
        <v>0.01</v>
      </c>
      <c r="R16" s="34">
        <f>Q16*(D43-O16)/(D46-O16)</f>
        <v>-0.0016290726817042606</v>
      </c>
      <c r="S16" s="31">
        <f>0.85*D1</f>
        <v>13.228124999999999</v>
      </c>
      <c r="T16" s="31">
        <f>D8</f>
        <v>326.0869565217392</v>
      </c>
      <c r="U16" s="31">
        <f>MAX(R16*D31,-D5)</f>
        <v>-326.0869565217392</v>
      </c>
      <c r="V16" s="36">
        <f>(S16*D52*0.8*O16)-((D38*T16)+(D36*U16))</f>
        <v>211120.875</v>
      </c>
      <c r="W16" s="36">
        <f>((S16*D52*0.8*O16)*((0.5*(D46+D40))-(0.4*O16)))+(((D38*T16)-(D36*U16))*0.5*(D46-D43))</f>
        <v>43149707.27934783</v>
      </c>
      <c r="X16" s="18">
        <f t="shared" si="0"/>
        <v>211.120875</v>
      </c>
      <c r="Y16" s="19">
        <f t="shared" si="1"/>
        <v>43.14970727934783</v>
      </c>
    </row>
    <row r="17" spans="1:25" ht="12.75">
      <c r="A17" s="177"/>
      <c r="B17" s="139"/>
      <c r="C17" s="165"/>
      <c r="D17" s="174"/>
      <c r="E17" s="100"/>
      <c r="F17" s="100"/>
      <c r="G17" s="100"/>
      <c r="H17" s="100"/>
      <c r="I17" s="100"/>
      <c r="J17" s="100"/>
      <c r="K17" s="100"/>
      <c r="M17" s="11"/>
      <c r="N17" s="14">
        <f>1/(1+D25/D13)</f>
        <v>0.25925925925925924</v>
      </c>
      <c r="O17" s="15">
        <f>N17*D46</f>
        <v>68.96296296296296</v>
      </c>
      <c r="P17" s="63">
        <f>Q17*O17/(D46-O17)</f>
        <v>0.0034999999999999996</v>
      </c>
      <c r="Q17" s="62">
        <f>D25</f>
        <v>0.01</v>
      </c>
      <c r="R17" s="35">
        <f>Q17*(D43-O17)/(D46-O17)</f>
        <v>-0.001774436090225564</v>
      </c>
      <c r="S17" s="15">
        <f>0.85*D1</f>
        <v>13.228124999999999</v>
      </c>
      <c r="T17" s="15">
        <f>D8</f>
        <v>326.0869565217392</v>
      </c>
      <c r="U17" s="15">
        <f>MAX(R17*D31,-D5)</f>
        <v>-326.0869565217392</v>
      </c>
      <c r="V17" s="37">
        <f>(S17*D52*0.8*O17)-((D38*T17)+(D36*U17))</f>
        <v>218940.16666666666</v>
      </c>
      <c r="W17" s="37">
        <f>((S17*D52*0.8*O17)*((0.5*(D46+D40))-(0.4*O17)))+(((D38*T17)-(D36*U17))*0.5*(D46-D43))</f>
        <v>43898911.26237252</v>
      </c>
      <c r="X17" s="20">
        <f t="shared" si="0"/>
        <v>218.94016666666667</v>
      </c>
      <c r="Y17" s="21">
        <f t="shared" si="1"/>
        <v>43.89891126237252</v>
      </c>
    </row>
    <row r="18" spans="1:25" ht="13.5" thickBot="1">
      <c r="A18" s="177"/>
      <c r="B18" s="139"/>
      <c r="C18" s="181"/>
      <c r="D18" s="196"/>
      <c r="E18" s="100"/>
      <c r="F18" s="100"/>
      <c r="G18" s="100"/>
      <c r="H18" s="100"/>
      <c r="I18" s="100"/>
      <c r="J18" s="100"/>
      <c r="K18" s="100"/>
      <c r="M18" s="120">
        <v>3</v>
      </c>
      <c r="N18" s="8">
        <v>0.3</v>
      </c>
      <c r="O18" s="39">
        <f>N18*D46</f>
        <v>79.8</v>
      </c>
      <c r="P18" s="38">
        <f>D13</f>
        <v>0.0035</v>
      </c>
      <c r="Q18" s="34">
        <f>P18*(D46-O18)/O18</f>
        <v>0.008166666666666666</v>
      </c>
      <c r="R18" s="34">
        <f>P18*(D43-O18)/O18</f>
        <v>-0.0020087719298245614</v>
      </c>
      <c r="S18" s="31">
        <f>0.85*D1</f>
        <v>13.228124999999999</v>
      </c>
      <c r="T18" s="39">
        <f>D8</f>
        <v>326.0869565217392</v>
      </c>
      <c r="U18" s="39">
        <f>MAX(R18*D31,-D5)</f>
        <v>-326.0869565217392</v>
      </c>
      <c r="V18" s="45">
        <f>(S18*D52*0.8*O18)-((D38*T18)+(D36*U18))</f>
        <v>253345.05</v>
      </c>
      <c r="W18" s="45">
        <f>((S18*D52*0.8*O18)*((0.5*(D46+D40))-(0.4*O18)))+(((D38*T18)-(D36*U18))*0.5*(D46-D43))</f>
        <v>47012374.80834782</v>
      </c>
      <c r="X18" s="18">
        <f t="shared" si="0"/>
        <v>253.34505</v>
      </c>
      <c r="Y18" s="19">
        <f t="shared" si="1"/>
        <v>47.01237480834782</v>
      </c>
    </row>
    <row r="19" spans="1:25" ht="13.5" thickTop="1">
      <c r="A19" s="177"/>
      <c r="B19" s="139"/>
      <c r="C19" s="180" t="s">
        <v>26</v>
      </c>
      <c r="D19" s="173">
        <v>0.01</v>
      </c>
      <c r="E19" s="100"/>
      <c r="F19" s="100"/>
      <c r="G19" s="100"/>
      <c r="H19" s="100"/>
      <c r="I19" s="100"/>
      <c r="J19" s="100"/>
      <c r="K19" s="100"/>
      <c r="M19" s="120"/>
      <c r="N19" s="2">
        <v>0.35</v>
      </c>
      <c r="O19" s="39">
        <f>N19*D46</f>
        <v>93.1</v>
      </c>
      <c r="P19" s="38">
        <f>D13</f>
        <v>0.0035</v>
      </c>
      <c r="Q19" s="34">
        <f>P19*(D46-O19)/O19</f>
        <v>0.0065000000000000014</v>
      </c>
      <c r="R19" s="34">
        <f>P19*(D43-O19)/O19</f>
        <v>-0.0022218045112781955</v>
      </c>
      <c r="S19" s="31">
        <f>0.85*D1</f>
        <v>13.228124999999999</v>
      </c>
      <c r="T19" s="39">
        <f>D8</f>
        <v>326.0869565217392</v>
      </c>
      <c r="U19" s="39">
        <f>MAX(R19*D31,-D5)</f>
        <v>-326.0869565217392</v>
      </c>
      <c r="V19" s="45">
        <f>(S19*D52*0.8*O19)-((D38*T19)+(D36*U19))</f>
        <v>295569.225</v>
      </c>
      <c r="W19" s="45">
        <f>((S19*D52*0.8*O19)*((0.5*(D46+D40))-(0.4*O19)))+(((D38*T19)-(D36*U19))*0.5*(D46-D43))</f>
        <v>50425777.11534782</v>
      </c>
      <c r="X19" s="18">
        <f t="shared" si="0"/>
        <v>295.56922499999996</v>
      </c>
      <c r="Y19" s="19">
        <f t="shared" si="1"/>
        <v>50.42577711534782</v>
      </c>
    </row>
    <row r="20" spans="1:25" ht="12.75">
      <c r="A20" s="177"/>
      <c r="B20" s="139"/>
      <c r="C20" s="165"/>
      <c r="D20" s="174"/>
      <c r="E20" s="100"/>
      <c r="F20" s="100"/>
      <c r="G20" s="100"/>
      <c r="H20" s="100"/>
      <c r="I20" s="100"/>
      <c r="J20" s="100"/>
      <c r="K20" s="100"/>
      <c r="M20" s="120"/>
      <c r="N20" s="8">
        <v>0.4</v>
      </c>
      <c r="O20" s="39">
        <f>N20*D46</f>
        <v>106.4</v>
      </c>
      <c r="P20" s="38">
        <f>D13</f>
        <v>0.0035</v>
      </c>
      <c r="Q20" s="34">
        <f>P20*(D46-O20)/O20</f>
        <v>0.0052499999999999995</v>
      </c>
      <c r="R20" s="34">
        <f>P20*(D43-O20)/O20</f>
        <v>-0.002381578947368421</v>
      </c>
      <c r="S20" s="31">
        <f>0.85*D1</f>
        <v>13.228124999999999</v>
      </c>
      <c r="T20" s="39">
        <f>D8</f>
        <v>326.0869565217392</v>
      </c>
      <c r="U20" s="39">
        <f>MAX(R20*D31,-D5)</f>
        <v>-326.0869565217392</v>
      </c>
      <c r="V20" s="45">
        <f>(S20*D52*0.8*O20)-((D38*T20)+(D36*U20))</f>
        <v>337793.4</v>
      </c>
      <c r="W20" s="45">
        <f>((S20*D52*0.8*O20)*((0.5*(D46+D40))-(0.4*O20)))+(((D38*T20)-(D36*U20))*0.5*(D46-D43))</f>
        <v>53389914.20034783</v>
      </c>
      <c r="X20" s="18">
        <f t="shared" si="0"/>
        <v>337.7934</v>
      </c>
      <c r="Y20" s="19">
        <f t="shared" si="1"/>
        <v>53.38991420034783</v>
      </c>
    </row>
    <row r="21" spans="1:25" ht="13.5" customHeight="1">
      <c r="A21" s="177"/>
      <c r="B21" s="139"/>
      <c r="C21" s="166"/>
      <c r="D21" s="175"/>
      <c r="E21" s="100"/>
      <c r="F21" s="100"/>
      <c r="G21" s="100"/>
      <c r="H21" s="100"/>
      <c r="I21" s="100"/>
      <c r="J21" s="100"/>
      <c r="K21" s="100"/>
      <c r="M21" s="120"/>
      <c r="N21" s="2">
        <v>0.45</v>
      </c>
      <c r="O21" s="39">
        <f>N21*D46</f>
        <v>119.7</v>
      </c>
      <c r="P21" s="38">
        <f>D13</f>
        <v>0.0035</v>
      </c>
      <c r="Q21" s="34">
        <f>P21*(D46-O21)/O21</f>
        <v>0.004277777777777778</v>
      </c>
      <c r="R21" s="34">
        <f>P21*(D43-O21)/O21</f>
        <v>-0.002505847953216374</v>
      </c>
      <c r="S21" s="31">
        <f>0.85*D1</f>
        <v>13.228124999999999</v>
      </c>
      <c r="T21" s="39">
        <f>D8</f>
        <v>326.0869565217392</v>
      </c>
      <c r="U21" s="39">
        <f>MAX(R21*D31,-D5)</f>
        <v>-326.0869565217392</v>
      </c>
      <c r="V21" s="45">
        <f>(S21*D52*0.8*O21)-((D38*T21)+(D36*U21))</f>
        <v>380017.575</v>
      </c>
      <c r="W21" s="45">
        <f>((S21*D52*0.8*O21)*((0.5*(D46+D40))-(0.4*O21)))+(((D38*T21)-(D36*U21))*0.5*(D46-D43))</f>
        <v>55904786.06334783</v>
      </c>
      <c r="X21" s="18">
        <f t="shared" si="0"/>
        <v>380.017575</v>
      </c>
      <c r="Y21" s="19">
        <f t="shared" si="1"/>
        <v>55.90478606334783</v>
      </c>
    </row>
    <row r="22" spans="1:25" ht="12.75">
      <c r="A22" s="177"/>
      <c r="B22" s="139"/>
      <c r="C22" s="164" t="s">
        <v>27</v>
      </c>
      <c r="D22" s="179">
        <f>D5/D31</f>
        <v>0.001582946390882229</v>
      </c>
      <c r="E22" s="100"/>
      <c r="F22" s="100"/>
      <c r="G22" s="100"/>
      <c r="H22" s="100"/>
      <c r="I22" s="100"/>
      <c r="J22" s="100"/>
      <c r="K22" s="100"/>
      <c r="M22" s="120"/>
      <c r="N22" s="8">
        <v>0.5</v>
      </c>
      <c r="O22" s="39">
        <f>N22*D46</f>
        <v>133</v>
      </c>
      <c r="P22" s="38">
        <f>D13</f>
        <v>0.0035</v>
      </c>
      <c r="Q22" s="34">
        <f>P22*(D46-O22)/O22</f>
        <v>0.0035</v>
      </c>
      <c r="R22" s="34">
        <f>P22*(D43-O22)/O22</f>
        <v>-0.0026052631578947372</v>
      </c>
      <c r="S22" s="31">
        <f>0.85*D1</f>
        <v>13.228124999999999</v>
      </c>
      <c r="T22" s="39">
        <f>D8</f>
        <v>326.0869565217392</v>
      </c>
      <c r="U22" s="39">
        <f>MAX(R22*D31,-D5)</f>
        <v>-326.0869565217392</v>
      </c>
      <c r="V22" s="45">
        <f>(S22*D52*0.8*O22)-((D38*T22)+(D36*U22))</f>
        <v>422241.75</v>
      </c>
      <c r="W22" s="45">
        <f>((S22*D52*0.8*O22)*((0.5*(D46+D40))-(0.4*O22)))+(((D38*T22)-(D36*U22))*0.5*(D46-D43))</f>
        <v>57970392.70434783</v>
      </c>
      <c r="X22" s="18">
        <f t="shared" si="0"/>
        <v>422.24175</v>
      </c>
      <c r="Y22" s="19">
        <f t="shared" si="1"/>
        <v>57.97039270434782</v>
      </c>
    </row>
    <row r="23" spans="1:25" ht="12.75">
      <c r="A23" s="177"/>
      <c r="B23" s="139"/>
      <c r="C23" s="165"/>
      <c r="D23" s="174"/>
      <c r="E23" s="100"/>
      <c r="F23" s="100"/>
      <c r="G23" s="100"/>
      <c r="H23" s="100"/>
      <c r="I23" s="100"/>
      <c r="J23" s="100"/>
      <c r="K23" s="100"/>
      <c r="M23" s="120"/>
      <c r="N23" s="2">
        <v>0.55</v>
      </c>
      <c r="O23" s="39">
        <f>N23*D46</f>
        <v>146.3</v>
      </c>
      <c r="P23" s="38">
        <f>D13</f>
        <v>0.0035</v>
      </c>
      <c r="Q23" s="34">
        <f>P23*(D46-O23)/O23</f>
        <v>0.0028636363636363633</v>
      </c>
      <c r="R23" s="34">
        <f>P23*(D43-O23)/O23</f>
        <v>-0.0026866028708133973</v>
      </c>
      <c r="S23" s="31">
        <f>0.85*D1</f>
        <v>13.228124999999999</v>
      </c>
      <c r="T23" s="39">
        <f>D8</f>
        <v>326.0869565217392</v>
      </c>
      <c r="U23" s="39">
        <f>MAX(R23*D31,-D5)</f>
        <v>-326.0869565217392</v>
      </c>
      <c r="V23" s="45">
        <f>(S23*D52*0.8*O23)-((D38*T23)+(D36*U23))</f>
        <v>464465.92500000005</v>
      </c>
      <c r="W23" s="45">
        <f>((S23*D52*0.8*O23)*((0.5*(D46+D40))-(0.4*O23)))+(((D38*T23)-(D36*U23))*0.5*(D46-D43))</f>
        <v>59586734.12334783</v>
      </c>
      <c r="X23" s="18">
        <f t="shared" si="0"/>
        <v>464.465925</v>
      </c>
      <c r="Y23" s="19">
        <f t="shared" si="1"/>
        <v>59.586734123347824</v>
      </c>
    </row>
    <row r="24" spans="1:25" ht="12.75">
      <c r="A24" s="177"/>
      <c r="B24" s="139"/>
      <c r="C24" s="166"/>
      <c r="D24" s="175"/>
      <c r="E24" s="100"/>
      <c r="F24" s="100"/>
      <c r="G24" s="100"/>
      <c r="H24" s="100"/>
      <c r="I24" s="100"/>
      <c r="J24" s="100"/>
      <c r="K24" s="100"/>
      <c r="M24" s="120"/>
      <c r="N24" s="8">
        <v>0.6</v>
      </c>
      <c r="O24" s="39">
        <f>N24*D46</f>
        <v>159.6</v>
      </c>
      <c r="P24" s="38">
        <f>D13</f>
        <v>0.0035</v>
      </c>
      <c r="Q24" s="34">
        <f>P24*(D46-O24)/O24</f>
        <v>0.0023333333333333335</v>
      </c>
      <c r="R24" s="34">
        <f>P24*(D43-O24)/O24</f>
        <v>-0.0027543859649122805</v>
      </c>
      <c r="S24" s="31">
        <f>0.85*D1</f>
        <v>13.228124999999999</v>
      </c>
      <c r="T24" s="39">
        <f>D8</f>
        <v>326.0869565217392</v>
      </c>
      <c r="U24" s="39">
        <f>MAX(R24*D31,-D5)</f>
        <v>-326.0869565217392</v>
      </c>
      <c r="V24" s="45">
        <f>(S24*D52*0.8*O24)-((D38*T24)+(D36*U24))</f>
        <v>506690.1</v>
      </c>
      <c r="W24" s="45">
        <f>((S24*D52*0.8*O24)*((0.5*(D46+D40))-(0.4*O24)))+(((D38*T24)-(D36*U24))*0.5*(D46-D43))</f>
        <v>60753810.32034782</v>
      </c>
      <c r="X24" s="18">
        <f t="shared" si="0"/>
        <v>506.6901</v>
      </c>
      <c r="Y24" s="19">
        <f t="shared" si="1"/>
        <v>60.753810320347824</v>
      </c>
    </row>
    <row r="25" spans="1:25" ht="12.75">
      <c r="A25" s="177"/>
      <c r="B25" s="139"/>
      <c r="C25" s="164" t="s">
        <v>28</v>
      </c>
      <c r="D25" s="179">
        <v>0.01</v>
      </c>
      <c r="E25" s="100"/>
      <c r="F25" s="100"/>
      <c r="G25" s="100"/>
      <c r="H25" s="100"/>
      <c r="I25" s="100"/>
      <c r="J25" s="100"/>
      <c r="K25" s="100"/>
      <c r="M25" s="120"/>
      <c r="N25" s="2">
        <v>0.65</v>
      </c>
      <c r="O25" s="39">
        <f>N25*D46</f>
        <v>172.9</v>
      </c>
      <c r="P25" s="38">
        <f>D13</f>
        <v>0.0035</v>
      </c>
      <c r="Q25" s="34">
        <f>P25*(D46-O25)/O25</f>
        <v>0.0018846153846153843</v>
      </c>
      <c r="R25" s="34">
        <f>P25*(D43-O25)/O25</f>
        <v>-0.0028117408906882593</v>
      </c>
      <c r="S25" s="31">
        <f>0.85*D1</f>
        <v>13.228124999999999</v>
      </c>
      <c r="T25" s="39">
        <f>D8</f>
        <v>326.0869565217392</v>
      </c>
      <c r="U25" s="39">
        <f>MAX(R25*D31,-D5)</f>
        <v>-326.0869565217392</v>
      </c>
      <c r="V25" s="45">
        <f>(S25*D52*0.8*O25)-((D38*T25)+(D36*U25))</f>
        <v>548914.275</v>
      </c>
      <c r="W25" s="45">
        <f>((S25*D52*0.8*O25)*((0.5*(D46+D40))-(0.4*O25)))+(((D38*T25)-(D36*U25))*0.5*(D46-D43))</f>
        <v>61471621.295347825</v>
      </c>
      <c r="X25" s="18">
        <f t="shared" si="0"/>
        <v>548.914275</v>
      </c>
      <c r="Y25" s="19">
        <f t="shared" si="1"/>
        <v>61.47162129534782</v>
      </c>
    </row>
    <row r="26" spans="1:25" ht="12.75">
      <c r="A26" s="177"/>
      <c r="B26" s="139"/>
      <c r="C26" s="165"/>
      <c r="D26" s="174"/>
      <c r="E26" s="100"/>
      <c r="F26" s="100"/>
      <c r="G26" s="100"/>
      <c r="H26" s="100"/>
      <c r="I26" s="100"/>
      <c r="J26" s="100"/>
      <c r="K26" s="100"/>
      <c r="M26" s="11"/>
      <c r="N26" s="14">
        <f>1/(1+D28/D13)</f>
        <v>0.6885770045260142</v>
      </c>
      <c r="O26" s="15">
        <f>N26*D46</f>
        <v>183.16148320391977</v>
      </c>
      <c r="P26" s="46">
        <f>D13</f>
        <v>0.0035</v>
      </c>
      <c r="Q26" s="61">
        <f>P26*(D46-O26)/O26</f>
        <v>0.001582946390882229</v>
      </c>
      <c r="R26" s="35">
        <f>P26*(D43-O26)/O26</f>
        <v>-0.0028503000853759555</v>
      </c>
      <c r="S26" s="15">
        <f>0.85*D1</f>
        <v>13.228124999999999</v>
      </c>
      <c r="T26" s="15">
        <f>Q26*D31</f>
        <v>326.0869565217392</v>
      </c>
      <c r="U26" s="15">
        <f>MAX(R26*D31,-D5)</f>
        <v>-326.0869565217392</v>
      </c>
      <c r="V26" s="37">
        <f>(S26*D52*0.8*O26)-((D38*T26)+(D36*U26))</f>
        <v>581491.9188016444</v>
      </c>
      <c r="W26" s="37">
        <f>((S26*D52*0.8*O26)*((0.5*(D46+D40))-(0.4*O26)))+(((D38*T26)-(D36*U26))*0.5*(D46-D43))</f>
        <v>61718410.1970735</v>
      </c>
      <c r="X26" s="20">
        <f t="shared" si="0"/>
        <v>581.4919188016444</v>
      </c>
      <c r="Y26" s="21">
        <f t="shared" si="1"/>
        <v>61.718410197073496</v>
      </c>
    </row>
    <row r="27" spans="1:25" ht="12.75">
      <c r="A27" s="177"/>
      <c r="B27" s="139"/>
      <c r="C27" s="166"/>
      <c r="D27" s="175"/>
      <c r="E27" s="100"/>
      <c r="F27" s="100"/>
      <c r="G27" s="100"/>
      <c r="H27" s="100"/>
      <c r="I27" s="100"/>
      <c r="J27" s="100"/>
      <c r="K27" s="100"/>
      <c r="M27" s="120">
        <v>4</v>
      </c>
      <c r="N27" s="8">
        <v>0.7</v>
      </c>
      <c r="O27" s="39">
        <f>N27*D46</f>
        <v>186.2</v>
      </c>
      <c r="P27" s="38">
        <f>D13</f>
        <v>0.0035</v>
      </c>
      <c r="Q27" s="34">
        <f>P27*(D46-O27)/O27</f>
        <v>0.0015000000000000002</v>
      </c>
      <c r="R27" s="34">
        <f>P27*(D43-O27)/O27</f>
        <v>-0.002860902255639098</v>
      </c>
      <c r="S27" s="31">
        <f>0.85*D1</f>
        <v>13.228124999999999</v>
      </c>
      <c r="T27" s="31">
        <f>Q27*D31</f>
        <v>309.00000000000006</v>
      </c>
      <c r="U27" s="39">
        <f>MAX(R27*D31,-D5)</f>
        <v>-326.0869565217392</v>
      </c>
      <c r="V27" s="45">
        <f>(S27*D52*0.8*O27)-((D38*T27)+(D36*U27))</f>
        <v>595000.102173913</v>
      </c>
      <c r="W27" s="45">
        <f>((S27*D52*0.8*O27)*((0.5*(D46+D40))-(0.4*O27)))+(((D38*T27)-(D36*U27))*0.5*(D46-D43))</f>
        <v>61292215.39617391</v>
      </c>
      <c r="X27" s="18">
        <f t="shared" si="0"/>
        <v>595.0001021739131</v>
      </c>
      <c r="Y27" s="19">
        <f t="shared" si="1"/>
        <v>61.29221539617391</v>
      </c>
    </row>
    <row r="28" spans="1:25" ht="12.75">
      <c r="A28" s="177"/>
      <c r="B28" s="139"/>
      <c r="C28" s="164" t="s">
        <v>29</v>
      </c>
      <c r="D28" s="179">
        <f>D8/D31</f>
        <v>0.001582946390882229</v>
      </c>
      <c r="E28" s="100"/>
      <c r="F28" s="100"/>
      <c r="G28" s="100"/>
      <c r="H28" s="100"/>
      <c r="I28" s="100"/>
      <c r="J28" s="100"/>
      <c r="K28" s="100"/>
      <c r="M28" s="120"/>
      <c r="N28" s="2">
        <v>0.75</v>
      </c>
      <c r="O28" s="39">
        <f>N28*D46</f>
        <v>199.5</v>
      </c>
      <c r="P28" s="38">
        <f>D13</f>
        <v>0.0035</v>
      </c>
      <c r="Q28" s="34">
        <f>P28*(D46-O28)/O28</f>
        <v>0.0011666666666666668</v>
      </c>
      <c r="R28" s="34">
        <f>P28*(D43-O28)/O28</f>
        <v>-0.0029035087719298247</v>
      </c>
      <c r="S28" s="31">
        <f>0.85*D1</f>
        <v>13.228124999999999</v>
      </c>
      <c r="T28" s="31">
        <f>Q28*D31</f>
        <v>240.33333333333334</v>
      </c>
      <c r="U28" s="39">
        <f>MAX(R28*D31,-D5)</f>
        <v>-326.0869565217392</v>
      </c>
      <c r="V28" s="45">
        <f>(S28*D52*0.8*O28)-((D38*T28)+(D36*U28))</f>
        <v>652742.9438405797</v>
      </c>
      <c r="W28" s="45">
        <f>((S28*D52*0.8*O28)*((0.5*(D46+D40))-(0.4*O28)))+(((D38*T28)-(D36*U28))*0.5*(D46-D43))</f>
        <v>59311330.59384057</v>
      </c>
      <c r="X28" s="18">
        <f t="shared" si="0"/>
        <v>652.7429438405798</v>
      </c>
      <c r="Y28" s="19">
        <f t="shared" si="1"/>
        <v>59.311330593840566</v>
      </c>
    </row>
    <row r="29" spans="1:25" ht="12.75">
      <c r="A29" s="177"/>
      <c r="B29" s="139"/>
      <c r="C29" s="165"/>
      <c r="D29" s="174"/>
      <c r="E29" s="100"/>
      <c r="F29" s="100"/>
      <c r="G29" s="100"/>
      <c r="H29" s="100"/>
      <c r="I29" s="100"/>
      <c r="J29" s="100"/>
      <c r="K29" s="100"/>
      <c r="M29" s="120"/>
      <c r="N29" s="8">
        <v>0.8</v>
      </c>
      <c r="O29" s="39">
        <f>N29*D46</f>
        <v>212.8</v>
      </c>
      <c r="P29" s="38">
        <f>D13</f>
        <v>0.0035</v>
      </c>
      <c r="Q29" s="34">
        <f>P29*(D46-O29)/O29</f>
        <v>0.0008749999999999998</v>
      </c>
      <c r="R29" s="34">
        <f>P29*(D43-O29)/O29</f>
        <v>-0.0029407894736842104</v>
      </c>
      <c r="S29" s="31">
        <f>0.85*D1</f>
        <v>13.228124999999999</v>
      </c>
      <c r="T29" s="31">
        <f>Q29*D31</f>
        <v>180.24999999999997</v>
      </c>
      <c r="U29" s="39">
        <f>MAX(R29*D31,-D5)</f>
        <v>-326.0869565217392</v>
      </c>
      <c r="V29" s="45">
        <f>(S29*D52*0.8*O29)-((D38*T29)+(D36*U29))</f>
        <v>708545.9521739131</v>
      </c>
      <c r="W29" s="45">
        <f>((S29*D52*0.8*O29)*((0.5*(D46+D40))-(0.4*O29)))+(((D38*T29)-(D36*U29))*0.5*(D46-D43))</f>
        <v>57106201.23617391</v>
      </c>
      <c r="X29" s="18">
        <f t="shared" si="0"/>
        <v>708.5459521739132</v>
      </c>
      <c r="Y29" s="19">
        <f t="shared" si="1"/>
        <v>57.106201236173916</v>
      </c>
    </row>
    <row r="30" spans="1:25" ht="12.75">
      <c r="A30" s="177"/>
      <c r="B30" s="156"/>
      <c r="C30" s="166"/>
      <c r="D30" s="175"/>
      <c r="E30" s="100"/>
      <c r="F30" s="100"/>
      <c r="G30" s="100"/>
      <c r="H30" s="100"/>
      <c r="I30" s="100"/>
      <c r="J30" s="100"/>
      <c r="K30" s="100"/>
      <c r="M30" s="120"/>
      <c r="N30" s="2">
        <v>0.85</v>
      </c>
      <c r="O30" s="39">
        <f>N30*D46</f>
        <v>226.1</v>
      </c>
      <c r="P30" s="38">
        <f>D13</f>
        <v>0.0035</v>
      </c>
      <c r="Q30" s="34">
        <f>P30*(D46-O30)/O30</f>
        <v>0.0006176470588235295</v>
      </c>
      <c r="R30" s="34">
        <f>P30*(D43-O30)/O30</f>
        <v>-0.002973684210526316</v>
      </c>
      <c r="S30" s="31">
        <f>0.85*D1</f>
        <v>13.228124999999999</v>
      </c>
      <c r="T30" s="31">
        <f>Q30*D31</f>
        <v>127.23529411764709</v>
      </c>
      <c r="U30" s="39">
        <f>MAX(R30*D31,-D5)</f>
        <v>-326.0869565217392</v>
      </c>
      <c r="V30" s="45">
        <f>(S30*D52*0.8*O30)-((D38*T30)+(D36*U30))</f>
        <v>762751.4507033248</v>
      </c>
      <c r="W30" s="45">
        <f>((S30*D52*0.8*O30)*((0.5*(D46+D40))-(0.4*O30)))+(((D38*T30)-(D36*U30))*0.5*(D46-D43))</f>
        <v>54637117.793762155</v>
      </c>
      <c r="X30" s="18">
        <f t="shared" si="0"/>
        <v>762.7514507033247</v>
      </c>
      <c r="Y30" s="19">
        <f t="shared" si="1"/>
        <v>54.63711779376216</v>
      </c>
    </row>
    <row r="31" spans="1:25" ht="12.75">
      <c r="A31" s="177"/>
      <c r="B31" s="138" t="s">
        <v>17</v>
      </c>
      <c r="C31" s="197" t="s">
        <v>30</v>
      </c>
      <c r="D31" s="162">
        <v>206000</v>
      </c>
      <c r="E31" s="99"/>
      <c r="F31" s="99"/>
      <c r="G31" s="99"/>
      <c r="H31" s="99"/>
      <c r="I31" s="99"/>
      <c r="J31" s="99"/>
      <c r="K31" s="99"/>
      <c r="M31" s="120"/>
      <c r="N31" s="8">
        <v>0.9</v>
      </c>
      <c r="O31" s="39">
        <f>N31*D46</f>
        <v>239.4</v>
      </c>
      <c r="P31" s="38">
        <f>D13</f>
        <v>0.0035</v>
      </c>
      <c r="Q31" s="34">
        <f>P31*(D46-O31)/O31</f>
        <v>0.0003888888888888888</v>
      </c>
      <c r="R31" s="34">
        <f>P31*(D43-O31)/O31</f>
        <v>-0.003002923976608187</v>
      </c>
      <c r="S31" s="31">
        <f>0.85*D1</f>
        <v>13.228124999999999</v>
      </c>
      <c r="T31" s="31">
        <f>Q31*D31</f>
        <v>80.1111111111111</v>
      </c>
      <c r="U31" s="39">
        <f>MAX(R31*D31,-D5)</f>
        <v>-326.0869565217392</v>
      </c>
      <c r="V31" s="45">
        <f>(S31*D52*0.8*O31)-((D38*T31)+(D36*U31))</f>
        <v>815625.691062802</v>
      </c>
      <c r="W31" s="45">
        <f>((S31*D52*0.8*O31)*((0.5*(D46+D40))-(0.4*O31)))+(((D38*T31)-(D36*U31))*0.5*(D46-D43))</f>
        <v>51873195.0770628</v>
      </c>
      <c r="X31" s="18">
        <f t="shared" si="0"/>
        <v>815.6256910628019</v>
      </c>
      <c r="Y31" s="19">
        <f t="shared" si="1"/>
        <v>51.8731950770628</v>
      </c>
    </row>
    <row r="32" spans="1:25" ht="12.75">
      <c r="A32" s="177"/>
      <c r="B32" s="139"/>
      <c r="C32" s="198"/>
      <c r="D32" s="182"/>
      <c r="E32" s="99"/>
      <c r="F32" s="99"/>
      <c r="G32" s="99"/>
      <c r="H32" s="99"/>
      <c r="I32" s="99"/>
      <c r="J32" s="99"/>
      <c r="K32" s="99"/>
      <c r="M32" s="120"/>
      <c r="N32" s="2">
        <v>0.95</v>
      </c>
      <c r="O32" s="39">
        <f>N32*D46</f>
        <v>252.7</v>
      </c>
      <c r="P32" s="38">
        <f>D13</f>
        <v>0.0035</v>
      </c>
      <c r="Q32" s="34">
        <f>P32*(D46-O32)/O32</f>
        <v>0.00018421052631578964</v>
      </c>
      <c r="R32" s="34">
        <f>P32*(D43-O32)/O32</f>
        <v>-0.0030290858725761775</v>
      </c>
      <c r="S32" s="31">
        <f>0.85*D1</f>
        <v>13.228124999999999</v>
      </c>
      <c r="T32" s="31">
        <f>Q32*D31</f>
        <v>37.947368421052666</v>
      </c>
      <c r="U32" s="39">
        <f>MAX(R32*D31,-D5)</f>
        <v>-326.0869565217392</v>
      </c>
      <c r="V32" s="45">
        <f>(S32*D52*0.8*O32)-((D38*T32)+(D36*U32))</f>
        <v>867378.871910755</v>
      </c>
      <c r="W32" s="45">
        <f>((S32*D52*0.8*O32)*((0.5*(D46+D40))-(0.4*O32)))+(((D38*T32)-(D36*U32))*0.5*(D46-D43))</f>
        <v>48790050.04170023</v>
      </c>
      <c r="X32" s="18">
        <f t="shared" si="0"/>
        <v>867.378871910755</v>
      </c>
      <c r="Y32" s="19">
        <f t="shared" si="1"/>
        <v>48.790050041700226</v>
      </c>
    </row>
    <row r="33" spans="1:25" ht="15.75" customHeight="1">
      <c r="A33" s="177"/>
      <c r="B33" s="139"/>
      <c r="C33" s="198"/>
      <c r="D33" s="182"/>
      <c r="E33" s="99"/>
      <c r="F33" s="99"/>
      <c r="G33" s="99"/>
      <c r="H33" s="99"/>
      <c r="I33" s="99"/>
      <c r="J33" s="99"/>
      <c r="K33" s="99"/>
      <c r="M33" s="11"/>
      <c r="N33" s="108">
        <f>O33/D46</f>
        <v>1</v>
      </c>
      <c r="O33" s="15">
        <f>D46</f>
        <v>266</v>
      </c>
      <c r="P33" s="46">
        <f>D13</f>
        <v>0.0035</v>
      </c>
      <c r="Q33" s="62">
        <f>P33*(D46-O33)/O33</f>
        <v>0</v>
      </c>
      <c r="R33" s="13">
        <f>P33*(D43-O33)/O33</f>
        <v>-0.0030526315789473684</v>
      </c>
      <c r="S33" s="15">
        <f>0.85*D1</f>
        <v>13.228124999999999</v>
      </c>
      <c r="T33" s="15">
        <f>Q33*D31</f>
        <v>0</v>
      </c>
      <c r="U33" s="15">
        <f>MAX(R33*D31,-D5)</f>
        <v>-326.0869565217392</v>
      </c>
      <c r="V33" s="37">
        <f>(S33*D52*(MIN(D49,0.8*O33))-((D38*T33)+(D36*U33)))</f>
        <v>918179.1521739131</v>
      </c>
      <c r="W33" s="37">
        <f>((S33*D52*(MIN(D49,0.8*O33))*((0.5*(D46+D40))-(MIN(D49/2,0.4*O33)))+(((D38*T33)-(D36*U33))*0.5*(D46-D43))))</f>
        <v>45368176.25217391</v>
      </c>
      <c r="X33" s="20">
        <f t="shared" si="0"/>
        <v>918.179152173913</v>
      </c>
      <c r="Y33" s="21">
        <f t="shared" si="1"/>
        <v>45.36817625217391</v>
      </c>
    </row>
    <row r="34" spans="1:25" ht="12.75">
      <c r="A34" s="177"/>
      <c r="B34" s="139"/>
      <c r="C34" s="198"/>
      <c r="D34" s="182"/>
      <c r="E34" s="99"/>
      <c r="F34" s="99"/>
      <c r="G34" s="99"/>
      <c r="H34" s="99"/>
      <c r="I34" s="99"/>
      <c r="J34" s="99"/>
      <c r="K34" s="99"/>
      <c r="M34" s="120">
        <v>5</v>
      </c>
      <c r="N34" s="2">
        <v>1.05</v>
      </c>
      <c r="O34" s="31">
        <f>N34*D46</f>
        <v>279.3</v>
      </c>
      <c r="P34" s="47">
        <f>D13</f>
        <v>0.0035</v>
      </c>
      <c r="Q34" s="48">
        <f>P34*(D46-O34)/O34</f>
        <v>-0.00016666666666666682</v>
      </c>
      <c r="R34" s="48">
        <f>P34*(D43-O34)/O34</f>
        <v>-0.003073934837092732</v>
      </c>
      <c r="S34" s="39">
        <f>0.85*D1</f>
        <v>13.228124999999999</v>
      </c>
      <c r="T34" s="39">
        <f>Q34*D31</f>
        <v>-34.333333333333364</v>
      </c>
      <c r="U34" s="39">
        <f>MAX(R34*D31,-D5)</f>
        <v>-326.0869565217392</v>
      </c>
      <c r="V34" s="45">
        <f>(S34*D52*(MIN(D49,0.8*O34))-((D38*T34)+(D36*U34)))</f>
        <v>968162.6605072464</v>
      </c>
      <c r="W34" s="45">
        <f>((S34*D52*(MIN(D49,0.8*O34))*((0.5*(D46+D40))-(MIN(D49/2,0.4*O34)))+(((D38*T34)-(D36*U34))*0.5*(D46-D43))))</f>
        <v>41591782.78450723</v>
      </c>
      <c r="X34" s="18">
        <f t="shared" si="0"/>
        <v>968.1626605072464</v>
      </c>
      <c r="Y34" s="19">
        <f t="shared" si="1"/>
        <v>41.59178278450723</v>
      </c>
    </row>
    <row r="35" spans="1:25" ht="13.5" thickBot="1">
      <c r="A35" s="178"/>
      <c r="B35" s="140"/>
      <c r="C35" s="199"/>
      <c r="D35" s="183"/>
      <c r="E35" s="99"/>
      <c r="F35" s="99"/>
      <c r="G35" s="99"/>
      <c r="H35" s="99"/>
      <c r="I35" s="99"/>
      <c r="J35" s="99"/>
      <c r="K35" s="99"/>
      <c r="M35" s="120"/>
      <c r="N35" s="9">
        <v>1.1</v>
      </c>
      <c r="O35" s="39">
        <f>N35*D46</f>
        <v>292.6</v>
      </c>
      <c r="P35" s="47">
        <f>D13</f>
        <v>0.0035</v>
      </c>
      <c r="Q35" s="48">
        <f>P35*(D46-O35)/O35</f>
        <v>-0.0003181818181818185</v>
      </c>
      <c r="R35" s="48">
        <f>P35*(D43-O35)/O35</f>
        <v>-0.0030933014354066987</v>
      </c>
      <c r="S35" s="39">
        <f>0.85*D1</f>
        <v>13.228124999999999</v>
      </c>
      <c r="T35" s="39">
        <f>Q35*D31</f>
        <v>-65.5454545454546</v>
      </c>
      <c r="U35" s="39">
        <f>MAX(R35*D31,-D5)</f>
        <v>-326.0869565217392</v>
      </c>
      <c r="V35" s="45">
        <f>(S35*D52*(MIN(D49,0.8*O35))-((D38*T35)+(D36*U35)))</f>
        <v>1017440.7749011859</v>
      </c>
      <c r="W35" s="45">
        <f>((S35*D52*(MIN(D49,0.8*O35))*((0.5*(D46+D40))-(MIN(D49/2,0.4*O35)))+(((D38*T35)-(D36*U35))*0.5*(D46-D43))))</f>
        <v>37447949.79181026</v>
      </c>
      <c r="X35" s="52">
        <f t="shared" si="0"/>
        <v>1017.4407749011859</v>
      </c>
      <c r="Y35" s="60">
        <f t="shared" si="1"/>
        <v>37.44794979181026</v>
      </c>
    </row>
    <row r="36" spans="1:27" ht="12.75">
      <c r="A36" s="176" t="s">
        <v>6</v>
      </c>
      <c r="B36" s="143" t="s">
        <v>31</v>
      </c>
      <c r="C36" s="143" t="s">
        <v>18</v>
      </c>
      <c r="D36" s="193">
        <v>226</v>
      </c>
      <c r="E36" s="99"/>
      <c r="F36" s="99"/>
      <c r="G36" s="99"/>
      <c r="H36" s="99"/>
      <c r="I36" s="99"/>
      <c r="J36" s="99"/>
      <c r="K36" s="99"/>
      <c r="M36" s="109"/>
      <c r="N36" s="14">
        <f>O36/D46</f>
        <v>1.1278195488721805</v>
      </c>
      <c r="O36" s="110">
        <f>D49</f>
        <v>300</v>
      </c>
      <c r="P36" s="81">
        <f>D16*O36/(O36-((3/7)*D49))</f>
        <v>0.0034999999999999996</v>
      </c>
      <c r="Q36" s="35">
        <f>-(D16-((D46-((3/7)*D49))*(P36-D16)/((3/7)*D49)))</f>
        <v>-0.0003966666666666669</v>
      </c>
      <c r="R36" s="35">
        <f>-(((P36-D16)*(((3/7)*D49)-D43)/((3/7)*D49))+D16)</f>
        <v>-0.003103333333333333</v>
      </c>
      <c r="S36" s="15">
        <f>0.85*D1</f>
        <v>13.228124999999999</v>
      </c>
      <c r="T36" s="15">
        <f>MAX(Q36*D31,-D8)</f>
        <v>-81.71333333333338</v>
      </c>
      <c r="U36" s="15">
        <f>MAX(R36*D31,-D5)</f>
        <v>-326.0869565217392</v>
      </c>
      <c r="V36" s="37">
        <f>(S36*D52*(MIN(D49,0.8*O36))-((D38*T36)+(D36*U36)))</f>
        <v>1044587.8655072462</v>
      </c>
      <c r="W36" s="37">
        <f>((S36*D52*(MIN(D49,0.8*O36))*((0.5*(D46+D40))-(MIN(D49/2,0.4*O36)))+(((D38*T36)-(D36*U36))*0.5*(D46-D43))))</f>
        <v>34979248.905507244</v>
      </c>
      <c r="X36" s="20">
        <f t="shared" si="0"/>
        <v>1044.5878655072463</v>
      </c>
      <c r="Y36" s="21">
        <f t="shared" si="1"/>
        <v>34.97924890550724</v>
      </c>
      <c r="AA36" s="2"/>
    </row>
    <row r="37" spans="1:25" ht="12.75">
      <c r="A37" s="187"/>
      <c r="B37" s="158"/>
      <c r="C37" s="144"/>
      <c r="D37" s="191"/>
      <c r="E37" s="99"/>
      <c r="F37" s="99"/>
      <c r="G37" s="99"/>
      <c r="H37" s="99"/>
      <c r="I37" s="99"/>
      <c r="J37" s="99"/>
      <c r="K37" s="99"/>
      <c r="M37" s="120">
        <v>6</v>
      </c>
      <c r="N37" s="8">
        <v>1.2</v>
      </c>
      <c r="O37" s="71">
        <f>N37*D46</f>
        <v>319.2</v>
      </c>
      <c r="P37" s="34">
        <f>D16*O37/(O37-((3/7)*D49))</f>
        <v>0.0033489208633093524</v>
      </c>
      <c r="Q37" s="34">
        <f>-(D16-((D46-((3/7)*D49))*(P37-D16)/((3/7)*D49)))</f>
        <v>-0.0005581534772182253</v>
      </c>
      <c r="R37" s="34">
        <f>-(((P37-D16)*(((3/7)*D49)-D43)/((3/7)*D49))+D16)</f>
        <v>-0.0029922062350119906</v>
      </c>
      <c r="S37" s="39">
        <f>0.85*D1</f>
        <v>13.228124999999999</v>
      </c>
      <c r="T37" s="31">
        <f>MAX(Q37*D31,-D8)</f>
        <v>-114.9796163069544</v>
      </c>
      <c r="U37" s="39">
        <f>MAX(R37*D31,-D5)</f>
        <v>-326.0869565217392</v>
      </c>
      <c r="V37" s="45">
        <f>(S37*D52*(MIN(D49,0.8*O37))-((D38*T37)+(D36*U37)))</f>
        <v>1113061.2454592846</v>
      </c>
      <c r="W37" s="45">
        <f>((S37*D52*(MIN(D49,0.8*O37))*((0.5*(D46+D40))-(MIN(D49/2,0.4*O37)))+(((D38*T37)-(D36*U37))*0.5*(D46-D43))))</f>
        <v>28153036.09507079</v>
      </c>
      <c r="X37" s="18">
        <f t="shared" si="0"/>
        <v>1113.0612454592847</v>
      </c>
      <c r="Y37" s="19">
        <f t="shared" si="1"/>
        <v>28.15303609507079</v>
      </c>
    </row>
    <row r="38" spans="1:25" ht="12.75">
      <c r="A38" s="187"/>
      <c r="B38" s="158"/>
      <c r="C38" s="158" t="s">
        <v>2</v>
      </c>
      <c r="D38" s="182">
        <v>226</v>
      </c>
      <c r="E38" s="99"/>
      <c r="F38" s="99"/>
      <c r="G38" s="99"/>
      <c r="H38" s="99"/>
      <c r="I38" s="99"/>
      <c r="J38" s="99"/>
      <c r="K38" s="99"/>
      <c r="M38" s="120"/>
      <c r="N38" s="8">
        <v>1.3</v>
      </c>
      <c r="O38" s="71">
        <f>N38*D46</f>
        <v>345.8</v>
      </c>
      <c r="P38" s="34">
        <f>D16*O38/(O38-((3/7)*D49))</f>
        <v>0.0031837432592397735</v>
      </c>
      <c r="Q38" s="34">
        <f>-(D16-((D46-((3/7)*D49))*(P38-D16)/((3/7)*D49)))</f>
        <v>-0.0007347099829014864</v>
      </c>
      <c r="R38" s="34">
        <f>-(((P38-D16)*(((3/7)*D49)-D43)/((3/7)*D49))+D16)</f>
        <v>-0.0028707089306852555</v>
      </c>
      <c r="S38" s="39">
        <f>0.85*D1</f>
        <v>13.228124999999999</v>
      </c>
      <c r="T38" s="31">
        <f>MAX(Q38*D31,-D8)</f>
        <v>-151.35025647770618</v>
      </c>
      <c r="U38" s="39">
        <f>MAX(R38*D31,-D5)</f>
        <v>-326.0869565217392</v>
      </c>
      <c r="V38" s="45">
        <f>(S38*D52*(MIN(D49,0.8*O38))-((D38*T38)+(D36*U38)))</f>
        <v>1205729.3601378747</v>
      </c>
      <c r="W38" s="45">
        <f>((S38*D52*(MIN(D49,0.8*O38))*((0.5*(D46+D40))-(MIN(D49/2,0.4*O38)))+(((D38*T38)-(D36*U38))*0.5*(D46-D43))))</f>
        <v>17403534.792354345</v>
      </c>
      <c r="X38" s="18">
        <f t="shared" si="0"/>
        <v>1205.7293601378747</v>
      </c>
      <c r="Y38" s="19">
        <f t="shared" si="1"/>
        <v>17.403534792354346</v>
      </c>
    </row>
    <row r="39" spans="1:25" ht="13.5" thickBot="1">
      <c r="A39" s="187"/>
      <c r="B39" s="194"/>
      <c r="C39" s="194"/>
      <c r="D39" s="163"/>
      <c r="E39" s="99"/>
      <c r="F39" s="99"/>
      <c r="G39" s="99"/>
      <c r="H39" s="99"/>
      <c r="I39" s="99"/>
      <c r="J39" s="99"/>
      <c r="K39" s="99"/>
      <c r="M39" s="120"/>
      <c r="N39" s="49">
        <f>O39/D46</f>
        <v>1.4097744360902256</v>
      </c>
      <c r="O39" s="111">
        <f>D49/0.8</f>
        <v>375</v>
      </c>
      <c r="P39" s="40">
        <f>D16*O39/(O39-((3/7)*D49))</f>
        <v>0.003043478260869565</v>
      </c>
      <c r="Q39" s="40">
        <f>-(D16-((D46-((3/7)*D49))*(P39-D16)/((3/7)*D49)))</f>
        <v>-0.0008846376811594203</v>
      </c>
      <c r="R39" s="40">
        <f>-(((P39-D16)*(((3/7)*D49)-D43)/((3/7)*D49))+D16)</f>
        <v>-0.002767536231884058</v>
      </c>
      <c r="S39" s="41">
        <f>0.85*D1</f>
        <v>13.228124999999999</v>
      </c>
      <c r="T39" s="41">
        <f>MAX(Q39*D31,-D8)</f>
        <v>-182.23536231884057</v>
      </c>
      <c r="U39" s="41">
        <f>MAX(R39*D31,-D5)</f>
        <v>-326.0869565217392</v>
      </c>
      <c r="V39" s="42">
        <f>(S39*D52*(MIN(D49,0.8*O39))-((D38*T39)+(D36*U39)))</f>
        <v>1305412.0940579707</v>
      </c>
      <c r="W39" s="42">
        <f>((S39*D52*(MIN(D49,0.8*O39))*((0.5*(D46+D40))-(MIN(D49/2,0.4*O39)))+(((D38*T39)-(D36*U39))*0.5*(D46-D43))))</f>
        <v>3771213.39362319</v>
      </c>
      <c r="X39" s="43">
        <f t="shared" si="0"/>
        <v>1305.4120940579708</v>
      </c>
      <c r="Y39" s="44">
        <f t="shared" si="1"/>
        <v>3.77121339362319</v>
      </c>
    </row>
    <row r="40" spans="1:25" ht="13.5" thickTop="1">
      <c r="A40" s="187"/>
      <c r="B40" s="153" t="s">
        <v>11</v>
      </c>
      <c r="C40" s="153" t="s">
        <v>32</v>
      </c>
      <c r="D40" s="192">
        <v>34</v>
      </c>
      <c r="E40" s="99"/>
      <c r="F40" s="99"/>
      <c r="G40" s="99"/>
      <c r="H40" s="99"/>
      <c r="I40" s="99"/>
      <c r="J40" s="99"/>
      <c r="K40" s="99"/>
      <c r="M40" s="120"/>
      <c r="N40" s="8">
        <v>1.5</v>
      </c>
      <c r="O40" s="71">
        <f>N40*D46</f>
        <v>399</v>
      </c>
      <c r="P40" s="34">
        <f>D16*O40/(O40-((3/7)*D49))</f>
        <v>0.0029508716323296356</v>
      </c>
      <c r="Q40" s="34">
        <f>-(D16-((D46-((3/7)*D49))*(P40-D16)/((3/7)*D49)))</f>
        <v>-0.0009836238774432115</v>
      </c>
      <c r="R40" s="34">
        <f>-(((P40-D16)*(((3/7)*D49)-D43)/((3/7)*D49))+D16)</f>
        <v>-0.0026994189117802428</v>
      </c>
      <c r="S40" s="39">
        <f>0.85*D1</f>
        <v>13.228124999999999</v>
      </c>
      <c r="T40" s="31">
        <f>MAX(Q40*D31,-D8)</f>
        <v>-202.62651875330158</v>
      </c>
      <c r="U40" s="39">
        <f>MAX(R40*D31,-D5)</f>
        <v>-326.0869565217392</v>
      </c>
      <c r="V40" s="45">
        <f>(S40*D52*(MIN(D49,0.8*O40))-((D38*T40)+(D36*U40)))</f>
        <v>1310020.495412159</v>
      </c>
      <c r="W40" s="45">
        <f>((S40*D52*(MIN(D49,0.8*O40))*((0.5*(D46+D40))-(MIN(D49/2,0.4*O40)))+(((D38*T40)-(D36*U40))*0.5*(D46-D43))))</f>
        <v>3236638.8365373607</v>
      </c>
      <c r="X40" s="18">
        <f t="shared" si="0"/>
        <v>1310.020495412159</v>
      </c>
      <c r="Y40" s="19">
        <f t="shared" si="1"/>
        <v>3.236638836537361</v>
      </c>
    </row>
    <row r="41" spans="1:25" ht="12.75">
      <c r="A41" s="187"/>
      <c r="B41" s="154"/>
      <c r="C41" s="139"/>
      <c r="D41" s="182"/>
      <c r="E41" s="99"/>
      <c r="F41" s="99"/>
      <c r="G41" s="99"/>
      <c r="H41" s="99"/>
      <c r="I41" s="99"/>
      <c r="J41" s="99"/>
      <c r="K41" s="99"/>
      <c r="M41" s="120"/>
      <c r="N41" s="9">
        <v>2.5</v>
      </c>
      <c r="O41" s="71">
        <f>N41*D46</f>
        <v>665</v>
      </c>
      <c r="P41" s="34">
        <f>D16*O41/(O41-((3/7)*D49))</f>
        <v>0.0024793608521970706</v>
      </c>
      <c r="Q41" s="34">
        <f>-(D16-((D46-((3/7)*D49))*(P41-D16)/((3/7)*D49)))</f>
        <v>-0.0014876165113182423</v>
      </c>
      <c r="R41" s="7">
        <f>-(((P41-D16)*(((3/7)*D49)-D43)/((3/7)*D49))+D16)</f>
        <v>-0.002352596537949401</v>
      </c>
      <c r="S41" s="39">
        <f>0.85*D1</f>
        <v>13.228124999999999</v>
      </c>
      <c r="T41" s="31">
        <f>MAX(Q41*D31,-D8)</f>
        <v>-306.4490013315579</v>
      </c>
      <c r="U41" s="39">
        <f>MAX(R41*D31,-D5)</f>
        <v>-326.0869565217392</v>
      </c>
      <c r="V41" s="45">
        <f>(S41*D52*(MIN(D49,0.8*O41))-((D38*T41)+(D36*U41)))</f>
        <v>1333484.376474845</v>
      </c>
      <c r="W41" s="45">
        <f>((S41*D52*(MIN(D49,0.8*O41))*((0.5*(D46+D40))-(MIN(D49/2,0.4*O41)))+(((D38*T41)-(D36*U41))*0.5*(D46-D43))))</f>
        <v>514828.633265793</v>
      </c>
      <c r="X41" s="18">
        <f t="shared" si="0"/>
        <v>1333.484376474845</v>
      </c>
      <c r="Y41" s="19">
        <f t="shared" si="1"/>
        <v>0.514828633265793</v>
      </c>
    </row>
    <row r="42" spans="1:25" ht="12.75">
      <c r="A42" s="187"/>
      <c r="B42" s="154"/>
      <c r="C42" s="156"/>
      <c r="D42" s="191"/>
      <c r="E42" s="99"/>
      <c r="F42" s="99"/>
      <c r="G42" s="99"/>
      <c r="H42" s="99"/>
      <c r="I42" s="99"/>
      <c r="J42" s="99"/>
      <c r="K42" s="99"/>
      <c r="M42" s="120"/>
      <c r="N42" s="51">
        <f>O42/D46</f>
        <v>2.9609644411781324</v>
      </c>
      <c r="O42" s="71">
        <f>(P42*(3/7)*D49)/(P42-D16)</f>
        <v>787.6165413533832</v>
      </c>
      <c r="P42" s="34">
        <f>((-Q42*(3/7)*D49)-(D16*D46))/((3/7)*D49-D46)</f>
        <v>0.002390174894185025</v>
      </c>
      <c r="Q42" s="53">
        <f>-D28</f>
        <v>-0.001582946390882229</v>
      </c>
      <c r="R42" s="34">
        <f>-(((P42-D16)*(((3/7)*D49)-D43)/((3/7)*D49))+D16)</f>
        <v>-0.0022869953110560962</v>
      </c>
      <c r="S42" s="39">
        <f>0.85*D1</f>
        <v>13.228124999999999</v>
      </c>
      <c r="T42" s="31">
        <f>MAX(Q42*D31,-D8)</f>
        <v>-326.0869565217392</v>
      </c>
      <c r="U42" s="39">
        <f>MAX(R42*D31,-D5)</f>
        <v>-326.0869565217392</v>
      </c>
      <c r="V42" s="45">
        <f>(S42*D52*(MIN(D49,0.8*O42))-((D38*T42)+(D36*U42)))</f>
        <v>1337922.554347826</v>
      </c>
      <c r="W42" s="45">
        <f>((S42*D52*(MIN(D49,0.8*O42))*((0.5*(D46+D40))-(MIN(D49/2,0.4*O42)))+(((D38*T42)-(D36*U42))*0.5*(D46-D43))))</f>
        <v>0</v>
      </c>
      <c r="X42" s="18">
        <f t="shared" si="0"/>
        <v>1337.922554347826</v>
      </c>
      <c r="Y42" s="19">
        <f t="shared" si="1"/>
        <v>0</v>
      </c>
    </row>
    <row r="43" spans="1:25" ht="12.75">
      <c r="A43" s="187"/>
      <c r="B43" s="154"/>
      <c r="C43" s="138" t="s">
        <v>4</v>
      </c>
      <c r="D43" s="162">
        <v>34</v>
      </c>
      <c r="E43" s="99"/>
      <c r="F43" s="99"/>
      <c r="G43" s="99"/>
      <c r="H43" s="99"/>
      <c r="I43" s="99"/>
      <c r="J43" s="99"/>
      <c r="K43" s="99"/>
      <c r="M43" s="120"/>
      <c r="N43" s="9">
        <v>3</v>
      </c>
      <c r="O43" s="71">
        <f>N43*D46</f>
        <v>798</v>
      </c>
      <c r="P43" s="34">
        <f>D16*O43/(O43-((3/7)*D49))</f>
        <v>0.002384122919334187</v>
      </c>
      <c r="Q43" s="34">
        <f>-(D16-((D46-((3/7)*D49))*(P43-D16)/((3/7)*D49)))</f>
        <v>-0.0015894152795561244</v>
      </c>
      <c r="R43" s="34">
        <f>-(((P43-D16)*((3/7)*D49-D43))/((3/7)*D49)+D16)</f>
        <v>-0.00228254374733248</v>
      </c>
      <c r="S43" s="39">
        <f>0.85*D1</f>
        <v>13.228124999999999</v>
      </c>
      <c r="T43" s="31">
        <f>MAX(Q43*D31,-D8)</f>
        <v>-326.0869565217392</v>
      </c>
      <c r="U43" s="39">
        <f>MAX(R43*D31,-D5)</f>
        <v>-326.0869565217392</v>
      </c>
      <c r="V43" s="45">
        <f>(S43*D52*(MIN(D49,0.8*O43))-((D38*T43)+(D36*U43)))</f>
        <v>1337922.554347826</v>
      </c>
      <c r="W43" s="45">
        <f>((S43*D52*(MIN(D49,0.8*O43))*((0.5*(D46+D40))-(MIN(D49/2,0.4*O43)))+(((D38*T43)-(D36*U43))*0.5*(D46-D43))))</f>
        <v>0</v>
      </c>
      <c r="X43" s="18">
        <f>V43/1000</f>
        <v>1337.922554347826</v>
      </c>
      <c r="Y43" s="19">
        <f>W43/POWER(1000,2)</f>
        <v>0</v>
      </c>
    </row>
    <row r="44" spans="1:25" ht="12.75">
      <c r="A44" s="187"/>
      <c r="B44" s="154"/>
      <c r="C44" s="154"/>
      <c r="D44" s="189"/>
      <c r="E44" s="25"/>
      <c r="F44" s="25"/>
      <c r="G44" s="25"/>
      <c r="H44" s="25"/>
      <c r="I44" s="25"/>
      <c r="J44" s="25"/>
      <c r="K44" s="25"/>
      <c r="M44" s="120"/>
      <c r="N44" s="9">
        <v>3.5</v>
      </c>
      <c r="O44" s="71">
        <f>N44*D46</f>
        <v>931</v>
      </c>
      <c r="P44" s="34">
        <f>D16*O44/(O44-((3/7)*D49))</f>
        <v>0.0023204557593021185</v>
      </c>
      <c r="Q44" s="34">
        <f>-(D16-((D46-((3/7)*D49))*(P44-D16)/((3/7)*D49)))</f>
        <v>-0.0016574683995015133</v>
      </c>
      <c r="R44" s="34">
        <f>-(((P44-D16)*(((3/7)*D49)-D43)/((3/7)*D49))+D16)</f>
        <v>-0.002235713014064447</v>
      </c>
      <c r="S44" s="39">
        <f>0.85*D1</f>
        <v>13.228124999999999</v>
      </c>
      <c r="T44" s="31">
        <f>MAX(Q44*D31,-D8)</f>
        <v>-326.0869565217392</v>
      </c>
      <c r="U44" s="39">
        <f>MAX(R44*D31,-D5)</f>
        <v>-326.0869565217392</v>
      </c>
      <c r="V44" s="45">
        <f>(S44*D52*(MIN(D49,0.8*O44))-((D38*T44)+(D36*U44)))</f>
        <v>1337922.554347826</v>
      </c>
      <c r="W44" s="45">
        <f>((S44*D52*(MIN(D49,0.8*O44))*((0.5*(D46+D40))-(MIN(D49/2,0.4*O44)))+(((D38*T44)-(D36*U44))*0.5*(D46-D43))))</f>
        <v>0</v>
      </c>
      <c r="X44" s="18">
        <f t="shared" si="0"/>
        <v>1337.922554347826</v>
      </c>
      <c r="Y44" s="19">
        <f t="shared" si="1"/>
        <v>0</v>
      </c>
    </row>
    <row r="45" spans="1:25" ht="13.5" thickBot="1">
      <c r="A45" s="187"/>
      <c r="B45" s="154"/>
      <c r="C45" s="157"/>
      <c r="D45" s="190"/>
      <c r="E45" s="25"/>
      <c r="F45" s="25"/>
      <c r="G45" s="25"/>
      <c r="H45" s="25"/>
      <c r="I45" s="25"/>
      <c r="J45" s="25"/>
      <c r="K45" s="25"/>
      <c r="M45" s="73"/>
      <c r="N45" s="74">
        <f>O45/D49</f>
        <v>3333.33</v>
      </c>
      <c r="O45" s="75">
        <v>999999</v>
      </c>
      <c r="P45" s="117">
        <f>D16*O45/(O45-((3/7)*D49))</f>
        <v>0.002000257176179828</v>
      </c>
      <c r="Q45" s="115">
        <f>-P45</f>
        <v>-0.002000257176179828</v>
      </c>
      <c r="R45" s="116">
        <f>Q45</f>
        <v>-0.002000257176179828</v>
      </c>
      <c r="S45" s="77">
        <f>0.85*D1</f>
        <v>13.228124999999999</v>
      </c>
      <c r="T45" s="77">
        <f>MAX(Q45*D31,-D8)</f>
        <v>-326.0869565217392</v>
      </c>
      <c r="U45" s="77">
        <f>MAX(R45*D31,-D8)</f>
        <v>-326.0869565217392</v>
      </c>
      <c r="V45" s="78">
        <f>(S45*D52*(MIN(D49,0.8*O45))-((D38*T45)+(D36*U45)))</f>
        <v>1337922.554347826</v>
      </c>
      <c r="W45" s="78">
        <f>((S45*D52*(MIN(D49,0.8*O45))*((0.5*(D46+D40))-(MIN(D49/2,0.4*O45)))+(((D38*T45)-(D36*U45))*0.5*(D46-D43))))</f>
        <v>0</v>
      </c>
      <c r="X45" s="79">
        <f>V45/1000</f>
        <v>1337.922554347826</v>
      </c>
      <c r="Y45" s="80">
        <f>W45/POWER(1000,2)</f>
        <v>0</v>
      </c>
    </row>
    <row r="46" spans="1:25" ht="12.75">
      <c r="A46" s="187"/>
      <c r="B46" s="154"/>
      <c r="C46" s="158" t="s">
        <v>3</v>
      </c>
      <c r="D46" s="182">
        <f>D49-D40</f>
        <v>266</v>
      </c>
      <c r="E46" s="99"/>
      <c r="F46" s="99"/>
      <c r="G46" s="99"/>
      <c r="H46" s="99"/>
      <c r="I46" s="99"/>
      <c r="J46" s="99"/>
      <c r="K46" s="99"/>
      <c r="M46" s="22"/>
      <c r="Y46" s="9"/>
    </row>
    <row r="47" spans="1:25" ht="12.75">
      <c r="A47" s="187"/>
      <c r="B47" s="154"/>
      <c r="C47" s="158"/>
      <c r="D47" s="182"/>
      <c r="E47" s="99"/>
      <c r="F47" s="99"/>
      <c r="G47" s="99"/>
      <c r="H47" s="99"/>
      <c r="I47" s="99"/>
      <c r="J47" s="99"/>
      <c r="K47" s="99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9"/>
    </row>
    <row r="48" spans="1:25" ht="13.5" thickBot="1">
      <c r="A48" s="187"/>
      <c r="B48" s="154"/>
      <c r="C48" s="158"/>
      <c r="D48" s="182"/>
      <c r="E48" s="99"/>
      <c r="F48" s="99"/>
      <c r="G48" s="99"/>
      <c r="H48" s="99"/>
      <c r="I48" s="99"/>
      <c r="J48" s="99"/>
      <c r="K48" s="99"/>
      <c r="M48" s="119" t="s">
        <v>44</v>
      </c>
      <c r="N48" s="119"/>
      <c r="O48" s="119"/>
      <c r="P48" s="119"/>
      <c r="Q48" s="119"/>
      <c r="R48" s="119"/>
      <c r="S48" s="25"/>
      <c r="T48" s="25"/>
      <c r="U48" s="25"/>
      <c r="V48" s="25"/>
      <c r="W48" s="25"/>
      <c r="X48" s="64"/>
      <c r="Y48" s="9"/>
    </row>
    <row r="49" spans="1:25" ht="12.75">
      <c r="A49" s="187"/>
      <c r="B49" s="154"/>
      <c r="C49" s="159" t="s">
        <v>1</v>
      </c>
      <c r="D49" s="162">
        <v>300</v>
      </c>
      <c r="E49" s="99"/>
      <c r="F49" s="99"/>
      <c r="G49" s="99"/>
      <c r="H49" s="99"/>
      <c r="I49" s="99"/>
      <c r="J49" s="99"/>
      <c r="K49" s="99"/>
      <c r="M49" s="22"/>
      <c r="N49" s="69"/>
      <c r="O49" s="69"/>
      <c r="P49" s="25"/>
      <c r="Q49" s="25"/>
      <c r="R49" s="25"/>
      <c r="S49" s="135">
        <v>1</v>
      </c>
      <c r="T49" s="131" t="s">
        <v>42</v>
      </c>
      <c r="U49" s="132"/>
      <c r="V49" s="76">
        <f>(0.85*(0.83*D3)/(1.25*1.6))*D52*D49-(-D8*D38)-(-D5*D36)</f>
        <v>1099816.3043478262</v>
      </c>
      <c r="W49" s="76">
        <v>0</v>
      </c>
      <c r="X49" s="90">
        <f>V49/1000</f>
        <v>1099.8163043478262</v>
      </c>
      <c r="Y49" s="93">
        <f>W49/POWER(1000,2)</f>
        <v>0</v>
      </c>
    </row>
    <row r="50" spans="1:25" ht="15.75">
      <c r="A50" s="187"/>
      <c r="B50" s="154"/>
      <c r="C50" s="158"/>
      <c r="D50" s="182"/>
      <c r="E50" s="99"/>
      <c r="F50" s="99"/>
      <c r="G50" s="99"/>
      <c r="H50" s="99"/>
      <c r="I50" s="99"/>
      <c r="J50" s="99"/>
      <c r="K50" s="99"/>
      <c r="M50" s="2"/>
      <c r="N50" s="2"/>
      <c r="O50" s="2"/>
      <c r="P50" s="25"/>
      <c r="Q50" s="25"/>
      <c r="R50" s="25"/>
      <c r="S50" s="136"/>
      <c r="T50" s="133" t="s">
        <v>43</v>
      </c>
      <c r="U50" s="134"/>
      <c r="V50" s="70">
        <f>V49</f>
        <v>1099816.3043478262</v>
      </c>
      <c r="W50" s="70">
        <v>65000000</v>
      </c>
      <c r="X50" s="91">
        <f>V50/1000</f>
        <v>1099.8163043478262</v>
      </c>
      <c r="Y50" s="94">
        <f>W50/POWER(1000,2)</f>
        <v>65</v>
      </c>
    </row>
    <row r="51" spans="1:25" ht="12.75">
      <c r="A51" s="187"/>
      <c r="B51" s="154"/>
      <c r="C51" s="144"/>
      <c r="D51" s="191"/>
      <c r="E51" s="99"/>
      <c r="F51" s="99"/>
      <c r="G51" s="99"/>
      <c r="H51" s="99"/>
      <c r="I51" s="99"/>
      <c r="J51" s="99"/>
      <c r="K51" s="99"/>
      <c r="M51" s="2"/>
      <c r="N51" s="2"/>
      <c r="O51" s="2"/>
      <c r="P51" s="25"/>
      <c r="Q51" s="25"/>
      <c r="R51" s="25"/>
      <c r="S51" s="137">
        <v>2</v>
      </c>
      <c r="T51" s="127" t="s">
        <v>41</v>
      </c>
      <c r="U51" s="129">
        <f>MAX(D49/30,20)</f>
        <v>20</v>
      </c>
      <c r="V51" s="89">
        <v>0</v>
      </c>
      <c r="W51" s="89">
        <f>V51*U51</f>
        <v>0</v>
      </c>
      <c r="X51" s="92">
        <f>V51/1000</f>
        <v>0</v>
      </c>
      <c r="Y51" s="95">
        <f>W51/POWER(1000,2)</f>
        <v>0</v>
      </c>
    </row>
    <row r="52" spans="1:25" ht="12.75">
      <c r="A52" s="187"/>
      <c r="B52" s="154"/>
      <c r="C52" s="158" t="s">
        <v>0</v>
      </c>
      <c r="D52" s="182">
        <v>300</v>
      </c>
      <c r="E52" s="99"/>
      <c r="F52" s="99"/>
      <c r="G52" s="99"/>
      <c r="H52" s="99"/>
      <c r="I52" s="99"/>
      <c r="J52" s="99"/>
      <c r="K52" s="99"/>
      <c r="M52" s="25"/>
      <c r="N52" s="25"/>
      <c r="O52" s="25"/>
      <c r="P52" s="25"/>
      <c r="Q52" s="25"/>
      <c r="R52" s="25"/>
      <c r="S52" s="136"/>
      <c r="T52" s="128"/>
      <c r="U52" s="130"/>
      <c r="V52" s="70">
        <v>1500000</v>
      </c>
      <c r="W52" s="70">
        <f>V52*U51</f>
        <v>30000000</v>
      </c>
      <c r="X52" s="91">
        <f>V52/1000</f>
        <v>1500</v>
      </c>
      <c r="Y52" s="94">
        <f>W52/POWER(1000,2)</f>
        <v>30</v>
      </c>
    </row>
    <row r="53" spans="1:25" ht="15.75">
      <c r="A53" s="187"/>
      <c r="B53" s="154"/>
      <c r="C53" s="158"/>
      <c r="D53" s="182"/>
      <c r="E53" s="99"/>
      <c r="F53" s="99"/>
      <c r="G53" s="99"/>
      <c r="H53" s="99"/>
      <c r="I53" s="99"/>
      <c r="J53" s="99"/>
      <c r="K53" s="99"/>
      <c r="M53" s="25"/>
      <c r="N53" s="25"/>
      <c r="O53" s="25"/>
      <c r="P53" s="25"/>
      <c r="Q53" s="25"/>
      <c r="R53" s="25"/>
      <c r="S53" s="88">
        <v>3</v>
      </c>
      <c r="T53" s="121" t="s">
        <v>45</v>
      </c>
      <c r="U53" s="122"/>
      <c r="V53" s="122"/>
      <c r="W53" s="122"/>
      <c r="X53" s="122"/>
      <c r="Y53" s="123"/>
    </row>
    <row r="54" spans="1:25" ht="13.5" thickBot="1">
      <c r="A54" s="188"/>
      <c r="B54" s="155"/>
      <c r="C54" s="195"/>
      <c r="D54" s="183"/>
      <c r="E54" s="99"/>
      <c r="F54" s="99"/>
      <c r="G54" s="99"/>
      <c r="H54" s="99"/>
      <c r="I54" s="99"/>
      <c r="J54" s="99"/>
      <c r="K54" s="99"/>
      <c r="M54" s="25"/>
      <c r="N54" s="25"/>
      <c r="O54" s="25"/>
      <c r="P54" s="25"/>
      <c r="Q54" s="25"/>
      <c r="R54" s="25"/>
      <c r="S54" s="87">
        <v>4</v>
      </c>
      <c r="T54" s="124" t="s">
        <v>46</v>
      </c>
      <c r="U54" s="125"/>
      <c r="V54" s="125"/>
      <c r="W54" s="125"/>
      <c r="X54" s="125"/>
      <c r="Y54" s="126"/>
    </row>
    <row r="55" spans="13:25" ht="12.75"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</sheetData>
  <mergeCells count="62">
    <mergeCell ref="M34:M35"/>
    <mergeCell ref="M37:M44"/>
    <mergeCell ref="M27:M32"/>
    <mergeCell ref="C25:C27"/>
    <mergeCell ref="M18:M25"/>
    <mergeCell ref="D16:D18"/>
    <mergeCell ref="D19:D21"/>
    <mergeCell ref="C31:C35"/>
    <mergeCell ref="B36:B39"/>
    <mergeCell ref="C52:C54"/>
    <mergeCell ref="C38:C39"/>
    <mergeCell ref="D22:D24"/>
    <mergeCell ref="C1:C2"/>
    <mergeCell ref="D5:D7"/>
    <mergeCell ref="A36:A54"/>
    <mergeCell ref="D43:D45"/>
    <mergeCell ref="D46:D48"/>
    <mergeCell ref="D49:D51"/>
    <mergeCell ref="D52:D54"/>
    <mergeCell ref="D40:D42"/>
    <mergeCell ref="D36:D37"/>
    <mergeCell ref="D38:D39"/>
    <mergeCell ref="D13:D15"/>
    <mergeCell ref="C11:C12"/>
    <mergeCell ref="A1:A35"/>
    <mergeCell ref="B13:B30"/>
    <mergeCell ref="D25:D27"/>
    <mergeCell ref="D28:D30"/>
    <mergeCell ref="C13:C15"/>
    <mergeCell ref="C16:C18"/>
    <mergeCell ref="C19:C21"/>
    <mergeCell ref="D31:D35"/>
    <mergeCell ref="C28:C30"/>
    <mergeCell ref="C3:C4"/>
    <mergeCell ref="C22:C24"/>
    <mergeCell ref="C5:C7"/>
    <mergeCell ref="C8:C10"/>
    <mergeCell ref="B40:B54"/>
    <mergeCell ref="C40:C42"/>
    <mergeCell ref="C43:C45"/>
    <mergeCell ref="C46:C48"/>
    <mergeCell ref="C49:C51"/>
    <mergeCell ref="B31:B35"/>
    <mergeCell ref="B1:B12"/>
    <mergeCell ref="C36:C37"/>
    <mergeCell ref="M3:M7"/>
    <mergeCell ref="M9:M12"/>
    <mergeCell ref="G1:I1"/>
    <mergeCell ref="D1:D2"/>
    <mergeCell ref="D8:D10"/>
    <mergeCell ref="D3:D4"/>
    <mergeCell ref="D11:D12"/>
    <mergeCell ref="M48:R48"/>
    <mergeCell ref="M14:M16"/>
    <mergeCell ref="T53:Y53"/>
    <mergeCell ref="T54:Y54"/>
    <mergeCell ref="T51:T52"/>
    <mergeCell ref="U51:U52"/>
    <mergeCell ref="T49:U49"/>
    <mergeCell ref="T50:U50"/>
    <mergeCell ref="S49:S50"/>
    <mergeCell ref="S51:S52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3"/>
  <sheetViews>
    <sheetView zoomScale="75" zoomScaleNormal="75" workbookViewId="0" topLeftCell="A1">
      <selection activeCell="E5" sqref="E5"/>
    </sheetView>
  </sheetViews>
  <sheetFormatPr defaultColWidth="9.140625" defaultRowHeight="12.75"/>
  <cols>
    <col min="1" max="1" width="5.28125" style="0" bestFit="1" customWidth="1"/>
    <col min="2" max="2" width="4.28125" style="0" bestFit="1" customWidth="1"/>
    <col min="3" max="3" width="5.28125" style="0" bestFit="1" customWidth="1"/>
    <col min="4" max="4" width="4.28125" style="0" bestFit="1" customWidth="1"/>
    <col min="5" max="6" width="10.57421875" style="0" customWidth="1"/>
    <col min="7" max="9" width="12.7109375" style="0" customWidth="1"/>
    <col min="10" max="11" width="10.7109375" style="0" customWidth="1"/>
    <col min="12" max="12" width="1.7109375" style="0" customWidth="1"/>
    <col min="13" max="13" width="3.140625" style="0" bestFit="1" customWidth="1"/>
    <col min="14" max="14" width="8.140625" style="0" bestFit="1" customWidth="1"/>
    <col min="15" max="16" width="7.57421875" style="0" bestFit="1" customWidth="1"/>
    <col min="17" max="17" width="8.140625" style="0" bestFit="1" customWidth="1"/>
    <col min="18" max="18" width="8.57421875" style="0" bestFit="1" customWidth="1"/>
    <col min="19" max="19" width="5.57421875" style="0" bestFit="1" customWidth="1"/>
    <col min="20" max="21" width="7.140625" style="0" bestFit="1" customWidth="1"/>
    <col min="22" max="22" width="8.00390625" style="0" bestFit="1" customWidth="1"/>
    <col min="23" max="23" width="10.00390625" style="0" bestFit="1" customWidth="1"/>
    <col min="24" max="24" width="7.57421875" style="0" bestFit="1" customWidth="1"/>
    <col min="25" max="25" width="6.57421875" style="0" bestFit="1" customWidth="1"/>
  </cols>
  <sheetData>
    <row r="1" spans="1:45" ht="20.25" thickBot="1">
      <c r="A1" s="176" t="s">
        <v>7</v>
      </c>
      <c r="B1" s="141" t="s">
        <v>16</v>
      </c>
      <c r="C1" s="184" t="s">
        <v>19</v>
      </c>
      <c r="D1" s="148">
        <f>0.83*D3/1.6</f>
        <v>15.562499999999998</v>
      </c>
      <c r="E1" s="96"/>
      <c r="F1" s="96"/>
      <c r="G1" s="145" t="s">
        <v>15</v>
      </c>
      <c r="H1" s="146"/>
      <c r="I1" s="147"/>
      <c r="J1" s="2"/>
      <c r="K1" s="96"/>
      <c r="M1" s="26"/>
      <c r="N1" s="27" t="s">
        <v>10</v>
      </c>
      <c r="O1" s="28" t="s">
        <v>5</v>
      </c>
      <c r="P1" s="56" t="s">
        <v>33</v>
      </c>
      <c r="Q1" s="56" t="s">
        <v>40</v>
      </c>
      <c r="R1" s="56" t="s">
        <v>39</v>
      </c>
      <c r="S1" s="56" t="s">
        <v>36</v>
      </c>
      <c r="T1" s="56" t="s">
        <v>37</v>
      </c>
      <c r="U1" s="56" t="s">
        <v>38</v>
      </c>
      <c r="V1" s="55" t="s">
        <v>34</v>
      </c>
      <c r="W1" s="28" t="s">
        <v>35</v>
      </c>
      <c r="X1" s="29" t="s">
        <v>34</v>
      </c>
      <c r="Y1" s="30" t="s">
        <v>35</v>
      </c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72"/>
      <c r="AQ1" s="72"/>
      <c r="AR1" s="72"/>
      <c r="AS1" s="72"/>
    </row>
    <row r="2" spans="1:45" ht="17.25" thickTop="1">
      <c r="A2" s="177"/>
      <c r="B2" s="139"/>
      <c r="C2" s="185"/>
      <c r="D2" s="149"/>
      <c r="E2" s="96"/>
      <c r="F2" s="96"/>
      <c r="G2" s="101"/>
      <c r="H2" s="6" t="s">
        <v>8</v>
      </c>
      <c r="I2" s="66" t="s">
        <v>9</v>
      </c>
      <c r="J2" s="2"/>
      <c r="K2" s="96"/>
      <c r="M2" s="82"/>
      <c r="N2" s="86">
        <f>O2/D46</f>
        <v>-3174.6</v>
      </c>
      <c r="O2" s="83">
        <v>-999999</v>
      </c>
      <c r="P2" s="58">
        <v>0</v>
      </c>
      <c r="Q2" s="58">
        <f>D25</f>
        <v>0.01</v>
      </c>
      <c r="R2" s="85">
        <v>0.01</v>
      </c>
      <c r="S2" s="58">
        <v>0</v>
      </c>
      <c r="T2" s="58">
        <f>D8</f>
        <v>326.0869565217392</v>
      </c>
      <c r="U2" s="58">
        <f>MIN(R2*D31,D5)</f>
        <v>326.0869565217392</v>
      </c>
      <c r="V2" s="37">
        <f>(S2*D52*0.8*O2)-((D38*T2)+(D36*U2))</f>
        <v>-200869.56521739133</v>
      </c>
      <c r="W2" s="13">
        <f>((S2*D52*0.8*O2)*((0.5*(D46+D40))-(0.4*O2)))+(((D38*T2)-(D36*U2))*0.5*(D46-D43))</f>
        <v>0</v>
      </c>
      <c r="X2" s="20">
        <f>V2/1000</f>
        <v>-200.8695652173913</v>
      </c>
      <c r="Y2" s="21">
        <f>W2/POWER(1000,2)</f>
        <v>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72"/>
      <c r="AQ2" s="72"/>
      <c r="AR2" s="72"/>
      <c r="AS2" s="72"/>
    </row>
    <row r="3" spans="1:45" ht="15.75">
      <c r="A3" s="177"/>
      <c r="B3" s="139"/>
      <c r="C3" s="167" t="s">
        <v>20</v>
      </c>
      <c r="D3" s="160">
        <v>30</v>
      </c>
      <c r="E3" s="97"/>
      <c r="F3" s="97"/>
      <c r="G3" s="23" t="s">
        <v>53</v>
      </c>
      <c r="H3" s="7">
        <v>1045.28</v>
      </c>
      <c r="I3" s="65">
        <v>17.54</v>
      </c>
      <c r="J3" s="2"/>
      <c r="K3" s="97"/>
      <c r="M3" s="120">
        <v>1</v>
      </c>
      <c r="N3" s="8">
        <v>-1</v>
      </c>
      <c r="O3" s="31">
        <f>N3*D46</f>
        <v>-315</v>
      </c>
      <c r="P3" s="31">
        <v>0</v>
      </c>
      <c r="Q3" s="31">
        <f>D25</f>
        <v>0.01</v>
      </c>
      <c r="R3" s="33">
        <f>Q3*(D43-O3)/(D46-O3)</f>
        <v>0.005555555555555556</v>
      </c>
      <c r="S3" s="32">
        <v>0</v>
      </c>
      <c r="T3" s="32">
        <f>D8</f>
        <v>326.0869565217392</v>
      </c>
      <c r="U3" s="32">
        <f>MIN(R3*D31,D5)</f>
        <v>326.0869565217392</v>
      </c>
      <c r="V3" s="36">
        <f>(S3*D52*0.8*O3)-((D38*T3)+(D36*U3))</f>
        <v>-200869.56521739133</v>
      </c>
      <c r="W3" s="7">
        <f>((S3*D52*0.8*O3)*((0.5*(D46+D40))-(0.4*O3)))+(((D38*T3)-(D36*U3))*0.5*(D46-D43))</f>
        <v>0</v>
      </c>
      <c r="X3" s="18">
        <f>V3/1000</f>
        <v>-200.8695652173913</v>
      </c>
      <c r="Y3" s="19">
        <f>W3/POWER(1000,2)</f>
        <v>0</v>
      </c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72"/>
      <c r="AQ3" s="72"/>
      <c r="AR3" s="72"/>
      <c r="AS3" s="72"/>
    </row>
    <row r="4" spans="1:45" ht="16.5" thickBot="1">
      <c r="A4" s="177"/>
      <c r="B4" s="139"/>
      <c r="C4" s="168"/>
      <c r="D4" s="161"/>
      <c r="E4" s="97"/>
      <c r="F4" s="97"/>
      <c r="G4" s="24" t="s">
        <v>54</v>
      </c>
      <c r="H4" s="4">
        <v>1060.29</v>
      </c>
      <c r="I4" s="67">
        <v>15.49</v>
      </c>
      <c r="J4" s="2"/>
      <c r="K4" s="97"/>
      <c r="M4" s="120"/>
      <c r="N4" s="9">
        <v>-0.5</v>
      </c>
      <c r="O4" s="31">
        <f>N4*D46</f>
        <v>-157.5</v>
      </c>
      <c r="P4" s="31">
        <v>0</v>
      </c>
      <c r="Q4" s="31">
        <f>D25</f>
        <v>0.01</v>
      </c>
      <c r="R4" s="33">
        <f>Q4*(D43-O4)/(D46-O4)</f>
        <v>0.004074074074074075</v>
      </c>
      <c r="S4" s="32">
        <v>0</v>
      </c>
      <c r="T4" s="32">
        <f>D8</f>
        <v>326.0869565217392</v>
      </c>
      <c r="U4" s="32">
        <f>MIN(R4*D31,D5)</f>
        <v>326.0869565217392</v>
      </c>
      <c r="V4" s="36">
        <f>(S4*D52*0.8*O4)-((D38*T4)+(D36*U4))</f>
        <v>-200869.56521739133</v>
      </c>
      <c r="W4" s="7">
        <f>((S4*D52*0.8*O4)*((0.5*(D46+D40))-(0.4*O4)))+(((D38*T4)-(D36*U4))*0.5*(D46-D43))</f>
        <v>0</v>
      </c>
      <c r="X4" s="18">
        <f aca="true" t="shared" si="0" ref="X4:X45">V4/1000</f>
        <v>-200.8695652173913</v>
      </c>
      <c r="Y4" s="19">
        <f aca="true" t="shared" si="1" ref="Y4:Y52">W4/POWER(1000,2)</f>
        <v>0</v>
      </c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72"/>
      <c r="AQ4" s="72"/>
      <c r="AR4" s="72"/>
      <c r="AS4" s="72"/>
    </row>
    <row r="5" spans="1:45" ht="13.5" thickTop="1">
      <c r="A5" s="177"/>
      <c r="B5" s="139"/>
      <c r="C5" s="169" t="s">
        <v>21</v>
      </c>
      <c r="D5" s="186">
        <f>D11/1.15</f>
        <v>326.0869565217392</v>
      </c>
      <c r="E5" s="98"/>
      <c r="F5" s="98"/>
      <c r="G5" s="24"/>
      <c r="H5" s="4"/>
      <c r="I5" s="67"/>
      <c r="J5" s="2"/>
      <c r="K5" s="98"/>
      <c r="M5" s="120"/>
      <c r="N5" s="8">
        <v>-0.25</v>
      </c>
      <c r="O5" s="31">
        <f>N5*D46</f>
        <v>-78.75</v>
      </c>
      <c r="P5" s="31">
        <v>0</v>
      </c>
      <c r="Q5" s="31">
        <f>D25</f>
        <v>0.01</v>
      </c>
      <c r="R5" s="33">
        <f>Q5*(D43-O5)/(D46-O5)</f>
        <v>0.0028888888888888888</v>
      </c>
      <c r="S5" s="31">
        <v>0</v>
      </c>
      <c r="T5" s="31">
        <f>D8</f>
        <v>326.0869565217392</v>
      </c>
      <c r="U5" s="32">
        <f>MIN(R5*D31,D5)</f>
        <v>326.0869565217392</v>
      </c>
      <c r="V5" s="36">
        <f>(S5*D52*0.8*O5)-((D38*T5)+(D36*U5))</f>
        <v>-200869.56521739133</v>
      </c>
      <c r="W5" s="7">
        <f>((S5*D52*0.8*O5)*((0.5*(D46+D40))-(0.4*O5)))+(((D38*T5)-(D36*U5))*0.5*(D46-D43))</f>
        <v>0</v>
      </c>
      <c r="X5" s="18">
        <f t="shared" si="0"/>
        <v>-200.8695652173913</v>
      </c>
      <c r="Y5" s="19">
        <f t="shared" si="1"/>
        <v>0</v>
      </c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72"/>
      <c r="AQ5" s="72"/>
      <c r="AR5" s="72"/>
      <c r="AS5" s="72"/>
    </row>
    <row r="6" spans="1:45" ht="13.5" thickBot="1">
      <c r="A6" s="177"/>
      <c r="B6" s="139"/>
      <c r="C6" s="170"/>
      <c r="D6" s="151"/>
      <c r="E6" s="98"/>
      <c r="F6" s="98"/>
      <c r="G6" s="3"/>
      <c r="H6" s="5"/>
      <c r="I6" s="68"/>
      <c r="J6" s="2"/>
      <c r="K6" s="98"/>
      <c r="M6" s="120"/>
      <c r="N6" s="9">
        <v>-0.1</v>
      </c>
      <c r="O6" s="39">
        <f>N6*D46</f>
        <v>-31.5</v>
      </c>
      <c r="P6" s="39">
        <v>0</v>
      </c>
      <c r="Q6" s="39">
        <f>D25</f>
        <v>0.01</v>
      </c>
      <c r="R6" s="33">
        <f>Q6*(D43-O6)/(D46-O6)</f>
        <v>0.0019191919191919192</v>
      </c>
      <c r="S6" s="39">
        <v>0</v>
      </c>
      <c r="T6" s="39">
        <f>D8</f>
        <v>326.0869565217392</v>
      </c>
      <c r="U6" s="32">
        <f>MIN(R6*D31,D5)</f>
        <v>326.0869565217392</v>
      </c>
      <c r="V6" s="36">
        <f>(S6*D52*0.8*O6)-((D38*T6)+(D36*U6))</f>
        <v>-200869.56521739133</v>
      </c>
      <c r="W6" s="7">
        <f>((S6*D52*0.8*O6)*((0.5*(D46+D40))-(0.4*O6)))+(((D38*T6)-(D36*U6))*0.5*(D46-D43))</f>
        <v>0</v>
      </c>
      <c r="X6" s="18">
        <f>V6/1000</f>
        <v>-200.8695652173913</v>
      </c>
      <c r="Y6" s="19">
        <f>W6/POWER(1000,2)</f>
        <v>0</v>
      </c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72"/>
      <c r="AQ6" s="72"/>
      <c r="AR6" s="72"/>
      <c r="AS6" s="72"/>
    </row>
    <row r="7" spans="1:45" ht="12.75">
      <c r="A7" s="177"/>
      <c r="B7" s="139"/>
      <c r="C7" s="171"/>
      <c r="D7" s="152"/>
      <c r="E7" s="98"/>
      <c r="F7" s="98"/>
      <c r="G7" s="98"/>
      <c r="H7" s="98"/>
      <c r="I7" s="98"/>
      <c r="J7" s="2"/>
      <c r="K7" s="98"/>
      <c r="L7" s="1"/>
      <c r="M7" s="120"/>
      <c r="N7" s="51">
        <f>O7/D46</f>
        <v>-0.05605706006909618</v>
      </c>
      <c r="O7" s="39">
        <f>-((R7*D46)-(Q7*D43))/(Q7-R7)</f>
        <v>-17.657973921765297</v>
      </c>
      <c r="P7" s="31">
        <v>0</v>
      </c>
      <c r="Q7" s="31">
        <f>D25</f>
        <v>0.01</v>
      </c>
      <c r="R7" s="59">
        <f>D22</f>
        <v>0.001582946390882229</v>
      </c>
      <c r="S7" s="31">
        <v>0</v>
      </c>
      <c r="T7" s="31">
        <f>D8</f>
        <v>326.0869565217392</v>
      </c>
      <c r="U7" s="32">
        <f>MIN(R7*D31,D5)</f>
        <v>326.0869565217392</v>
      </c>
      <c r="V7" s="36">
        <f>(S7*D52*0.8*O7)-((D38*T7)+(D36*U7))</f>
        <v>-200869.56521739133</v>
      </c>
      <c r="W7" s="36">
        <f>((S7*D52*0.8*O7)*((0.5*(D46+D40))-(0.4*O7)))+(((D38*T7)-(D36*U7))*0.5*(D46-D43))</f>
        <v>0</v>
      </c>
      <c r="X7" s="18">
        <f t="shared" si="0"/>
        <v>-200.8695652173913</v>
      </c>
      <c r="Y7" s="19">
        <f t="shared" si="1"/>
        <v>0</v>
      </c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72"/>
      <c r="AQ7" s="72"/>
      <c r="AR7" s="72"/>
      <c r="AS7" s="72"/>
    </row>
    <row r="8" spans="1:45" ht="12.75">
      <c r="A8" s="177"/>
      <c r="B8" s="139"/>
      <c r="C8" s="172" t="s">
        <v>22</v>
      </c>
      <c r="D8" s="150">
        <f>D11/1.15</f>
        <v>326.0869565217392</v>
      </c>
      <c r="E8" s="98"/>
      <c r="F8" s="98"/>
      <c r="G8" s="98"/>
      <c r="H8" s="98"/>
      <c r="I8" s="98"/>
      <c r="J8" s="2"/>
      <c r="K8" s="98"/>
      <c r="M8" s="11"/>
      <c r="N8" s="108">
        <v>0</v>
      </c>
      <c r="O8" s="15">
        <f>N8*D46</f>
        <v>0</v>
      </c>
      <c r="P8" s="62">
        <f>Q8*O8/(D46-O8)</f>
        <v>0</v>
      </c>
      <c r="Q8" s="15">
        <f>D25</f>
        <v>0.01</v>
      </c>
      <c r="R8" s="57">
        <f>Q8*(D43-O8)/(D46-O8)</f>
        <v>0.0011111111111111111</v>
      </c>
      <c r="S8" s="15">
        <f>1000*0.85*D1*(P8-(250*P8^2))</f>
        <v>0</v>
      </c>
      <c r="T8" s="15">
        <f>D8</f>
        <v>326.0869565217392</v>
      </c>
      <c r="U8" s="58">
        <f>MIN(R8*D31,D5)</f>
        <v>228.88888888888889</v>
      </c>
      <c r="V8" s="37">
        <f>(S8*D52*0.8*O8)-((D38*T8)+(D36*U8))</f>
        <v>-170932.56038647343</v>
      </c>
      <c r="W8" s="37">
        <f>((S8*D52*0.8*O8)*((0.5*(D46+D40))-(0.4*O8)))+(((D38*T8)-(D36*U8))*0.5*(D46-D43))</f>
        <v>4191180.6763285035</v>
      </c>
      <c r="X8" s="20">
        <f t="shared" si="0"/>
        <v>-170.93256038647343</v>
      </c>
      <c r="Y8" s="21">
        <f t="shared" si="1"/>
        <v>4.1911806763285036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72"/>
      <c r="AQ8" s="72"/>
      <c r="AR8" s="72"/>
      <c r="AS8" s="72"/>
    </row>
    <row r="9" spans="1:45" ht="12.75">
      <c r="A9" s="177"/>
      <c r="B9" s="139"/>
      <c r="C9" s="170"/>
      <c r="D9" s="151"/>
      <c r="E9" s="98"/>
      <c r="F9" s="98"/>
      <c r="G9" s="99"/>
      <c r="H9" s="99"/>
      <c r="I9" s="99"/>
      <c r="J9" s="98"/>
      <c r="K9" s="98"/>
      <c r="M9" s="120" t="s">
        <v>14</v>
      </c>
      <c r="N9" s="2">
        <v>0.05</v>
      </c>
      <c r="O9" s="31">
        <f>N9*D46</f>
        <v>15.75</v>
      </c>
      <c r="P9" s="34">
        <f>Q9*O9/(D46-O9)</f>
        <v>0.0005263157894736842</v>
      </c>
      <c r="Q9" s="31">
        <f>D25</f>
        <v>0.01</v>
      </c>
      <c r="R9" s="34">
        <f>Q9*(D43-O9)/(D46-O9)</f>
        <v>0.0006432748538011696</v>
      </c>
      <c r="S9" s="31">
        <f>1000*0.85*D1*(P9-(250*P9^2))</f>
        <v>6.046095914127423</v>
      </c>
      <c r="T9" s="31">
        <f>D8</f>
        <v>326.0869565217392</v>
      </c>
      <c r="U9" s="31">
        <f>MIN(R9*D31,D5)</f>
        <v>132.51461988304095</v>
      </c>
      <c r="V9" s="36">
        <f>(S9*D52*0.8*O9)-((D38*T9)+(D36*U9))</f>
        <v>-114586.00255137034</v>
      </c>
      <c r="W9" s="36">
        <f>((S9*D52*0.8*O9)*((0.5*(D46+D40))-(0.4*O9)))+(((D38*T9)-(D36*U9))*0.5*(D46-D43))</f>
        <v>12844934.994806303</v>
      </c>
      <c r="X9" s="18">
        <f t="shared" si="0"/>
        <v>-114.58600255137034</v>
      </c>
      <c r="Y9" s="19">
        <f t="shared" si="1"/>
        <v>12.844934994806303</v>
      </c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72"/>
      <c r="AQ9" s="72"/>
      <c r="AR9" s="72"/>
      <c r="AS9" s="72"/>
    </row>
    <row r="10" spans="1:45" ht="12.75">
      <c r="A10" s="177"/>
      <c r="B10" s="139"/>
      <c r="C10" s="171"/>
      <c r="D10" s="152"/>
      <c r="E10" s="98"/>
      <c r="F10" s="98"/>
      <c r="G10" s="99"/>
      <c r="H10" s="99"/>
      <c r="I10" s="99"/>
      <c r="J10" s="98"/>
      <c r="K10" s="98"/>
      <c r="M10" s="120"/>
      <c r="N10" s="9">
        <v>0.1</v>
      </c>
      <c r="O10" s="39">
        <f>N10*D46</f>
        <v>31.5</v>
      </c>
      <c r="P10" s="48">
        <f>Q10*O10/(D46-O10)</f>
        <v>0.0011111111111111111</v>
      </c>
      <c r="Q10" s="39">
        <f>D25</f>
        <v>0.01</v>
      </c>
      <c r="R10" s="48">
        <f>Q10*(D43-O10)/(D46-O10)</f>
        <v>0.0001234567901234568</v>
      </c>
      <c r="S10" s="39">
        <f>1000*0.85*D1*(P10-(250*P10^2))</f>
        <v>10.615162037037036</v>
      </c>
      <c r="T10" s="39">
        <f>D8</f>
        <v>326.0869565217392</v>
      </c>
      <c r="U10" s="39">
        <f>MAX(R10*D31,-D5)</f>
        <v>25.432098765432098</v>
      </c>
      <c r="V10" s="45">
        <f>(S10*D52*0.8*O10)-((D38*T10)+(D36*U10))</f>
        <v>-14642.139861782081</v>
      </c>
      <c r="W10" s="45">
        <f>((S10*D52*0.8*O10)*((0.5*(D46+D40))-(0.4*O10)))+(((D38*T10)-(D36*U10))*0.5*(D46-D43))</f>
        <v>28169055.88311863</v>
      </c>
      <c r="X10" s="52">
        <f t="shared" si="0"/>
        <v>-14.64213986178208</v>
      </c>
      <c r="Y10" s="60">
        <f t="shared" si="1"/>
        <v>28.16905588311863</v>
      </c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72"/>
      <c r="AQ10" s="72"/>
      <c r="AR10" s="72"/>
      <c r="AS10" s="72"/>
    </row>
    <row r="11" spans="1:45" ht="12.75">
      <c r="A11" s="177"/>
      <c r="B11" s="139"/>
      <c r="C11" s="167" t="s">
        <v>23</v>
      </c>
      <c r="D11" s="162">
        <v>375</v>
      </c>
      <c r="E11" s="99"/>
      <c r="F11" s="99"/>
      <c r="G11" s="100"/>
      <c r="H11" s="100"/>
      <c r="I11" s="100"/>
      <c r="J11" s="99"/>
      <c r="K11" s="99"/>
      <c r="M11" s="120"/>
      <c r="N11" s="107">
        <f>O11/D46</f>
        <v>0.1111111111111111</v>
      </c>
      <c r="O11" s="31">
        <f>D43</f>
        <v>35</v>
      </c>
      <c r="P11" s="34">
        <f>Q11*O11/(D46-O11)</f>
        <v>0.00125</v>
      </c>
      <c r="Q11" s="31">
        <f>D25</f>
        <v>0.01</v>
      </c>
      <c r="R11" s="54">
        <f>Q11*(D43-O11)/(D46-O11)</f>
        <v>0</v>
      </c>
      <c r="S11" s="31">
        <f>1000*0.85*D1*(P11-(250*P11^2))</f>
        <v>11.367919921874998</v>
      </c>
      <c r="T11" s="31">
        <f>D8</f>
        <v>326.0869565217392</v>
      </c>
      <c r="U11" s="31">
        <f>MAX(R11*D31,-D5)</f>
        <v>0</v>
      </c>
      <c r="V11" s="36">
        <f>(S11*D52*0.8*O11)-((D38*T11)+(D36*U11))</f>
        <v>10970.832625679337</v>
      </c>
      <c r="W11" s="36">
        <f>((S11*D52*0.8*O11)*((0.5*(D46+D40))-(0.4*O11)))+(((D38*T11)-(D36*U11))*0.5*(D46-D43))</f>
        <v>31997173.617951766</v>
      </c>
      <c r="X11" s="18">
        <f t="shared" si="0"/>
        <v>10.970832625679337</v>
      </c>
      <c r="Y11" s="19">
        <f t="shared" si="1"/>
        <v>31.997173617951766</v>
      </c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72"/>
      <c r="AQ11" s="72"/>
      <c r="AR11" s="72"/>
      <c r="AS11" s="72"/>
    </row>
    <row r="12" spans="1:45" ht="13.5" thickBot="1">
      <c r="A12" s="177"/>
      <c r="B12" s="142"/>
      <c r="C12" s="168"/>
      <c r="D12" s="163"/>
      <c r="E12" s="99"/>
      <c r="F12" s="99"/>
      <c r="G12" s="100"/>
      <c r="H12" s="100"/>
      <c r="I12" s="100"/>
      <c r="J12" s="99"/>
      <c r="K12" s="99"/>
      <c r="M12" s="120"/>
      <c r="N12" s="2">
        <v>0.15</v>
      </c>
      <c r="O12" s="31">
        <f>N12*D46</f>
        <v>47.25</v>
      </c>
      <c r="P12" s="34">
        <f>Q12*O12/(D46-O12)</f>
        <v>0.0017647058823529412</v>
      </c>
      <c r="Q12" s="31">
        <f>D25</f>
        <v>0.01</v>
      </c>
      <c r="R12" s="34">
        <f>Q12*(D43-O12)/(D46-O12)</f>
        <v>-0.00045751633986928104</v>
      </c>
      <c r="S12" s="31">
        <f>1000*0.85*D1*(P12-(250*P12^2))</f>
        <v>13.045036764705879</v>
      </c>
      <c r="T12" s="31">
        <f>D8</f>
        <v>326.0869565217392</v>
      </c>
      <c r="U12" s="31">
        <f>MAX(R12*D31,-D5)</f>
        <v>-94.24836601307189</v>
      </c>
      <c r="V12" s="36">
        <f>(S12*D52*0.8*O12)-((D38*T12)+(D36*U12))</f>
        <v>101179.55052038928</v>
      </c>
      <c r="W12" s="36">
        <f>((S12*D52*0.8*O12)*((0.5*(D46+D40))-(0.4*O12)))+(((D38*T12)-(D36*U12))*0.5*(D46-D43))</f>
        <v>45065508.16928193</v>
      </c>
      <c r="X12" s="18">
        <f t="shared" si="0"/>
        <v>101.17955052038928</v>
      </c>
      <c r="Y12" s="19">
        <f t="shared" si="1"/>
        <v>45.06550816928193</v>
      </c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72"/>
      <c r="AQ12" s="72"/>
      <c r="AR12" s="72"/>
      <c r="AS12" s="72"/>
    </row>
    <row r="13" spans="1:45" ht="13.5" thickTop="1">
      <c r="A13" s="177"/>
      <c r="B13" s="153" t="s">
        <v>12</v>
      </c>
      <c r="C13" s="180" t="s">
        <v>24</v>
      </c>
      <c r="D13" s="173">
        <v>0.0035</v>
      </c>
      <c r="E13" s="100"/>
      <c r="F13" s="100"/>
      <c r="G13" s="100"/>
      <c r="H13" s="100"/>
      <c r="I13" s="100"/>
      <c r="J13" s="100"/>
      <c r="K13" s="100"/>
      <c r="M13" s="11"/>
      <c r="N13" s="14">
        <f>1/6</f>
        <v>0.16666666666666666</v>
      </c>
      <c r="O13" s="15">
        <f>N13*D46</f>
        <v>52.5</v>
      </c>
      <c r="P13" s="63">
        <f>Q13*O13/(D46-O13)</f>
        <v>0.002</v>
      </c>
      <c r="Q13" s="15">
        <f>D25</f>
        <v>0.01</v>
      </c>
      <c r="R13" s="35">
        <f>Q13*(D43-O13)/(D46-O13)</f>
        <v>-0.0006666666666666668</v>
      </c>
      <c r="S13" s="15">
        <f>1000*0.85*D1*(P13-(250*P13^2))</f>
        <v>13.228124999999999</v>
      </c>
      <c r="T13" s="15">
        <f>D8</f>
        <v>326.0869565217392</v>
      </c>
      <c r="U13" s="15">
        <f>MAX(R13*D31,-D5)</f>
        <v>-137.33333333333334</v>
      </c>
      <c r="V13" s="37">
        <f>(S13*D52*0.8*O13)-((D38*T13)+(D36*U13))</f>
        <v>136317.32155797098</v>
      </c>
      <c r="W13" s="37">
        <f>((S13*D52*0.8*O13)*((0.5*(D46+D40))-(0.4*O13)))+(((D38*T13)-(D36*U13))*0.5*(D46-D43))</f>
        <v>49928512.27355072</v>
      </c>
      <c r="X13" s="20">
        <f t="shared" si="0"/>
        <v>136.31732155797098</v>
      </c>
      <c r="Y13" s="21">
        <f t="shared" si="1"/>
        <v>49.928512273550716</v>
      </c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72"/>
      <c r="AQ13" s="72"/>
      <c r="AR13" s="72"/>
      <c r="AS13" s="72"/>
    </row>
    <row r="14" spans="1:45" ht="12.75">
      <c r="A14" s="177"/>
      <c r="B14" s="139"/>
      <c r="C14" s="165"/>
      <c r="D14" s="174"/>
      <c r="E14" s="100"/>
      <c r="F14" s="100"/>
      <c r="G14" s="100"/>
      <c r="H14" s="100"/>
      <c r="I14" s="100"/>
      <c r="J14" s="100"/>
      <c r="K14" s="100"/>
      <c r="M14" s="120" t="s">
        <v>13</v>
      </c>
      <c r="N14" s="9">
        <v>0.2</v>
      </c>
      <c r="O14" s="39">
        <f>N14*D46</f>
        <v>63</v>
      </c>
      <c r="P14" s="48">
        <f>Q14*O14/(D46-O14)</f>
        <v>0.0025</v>
      </c>
      <c r="Q14" s="39">
        <f>D25</f>
        <v>0.01</v>
      </c>
      <c r="R14" s="48">
        <f>Q14*(D43-O14)/(D46-O14)</f>
        <v>-0.0011111111111111111</v>
      </c>
      <c r="S14" s="39">
        <f>0.85*D1</f>
        <v>13.228124999999999</v>
      </c>
      <c r="T14" s="39">
        <f>D8</f>
        <v>326.0869565217392</v>
      </c>
      <c r="U14" s="39">
        <f>MAX(R14*D31,-D5)</f>
        <v>-228.88888888888889</v>
      </c>
      <c r="V14" s="45">
        <f>(S14*D52*0.8*O14)-((D38*T14)+(D36*U14))</f>
        <v>203407.12016908207</v>
      </c>
      <c r="W14" s="45">
        <f>((S14*D52*0.8*O14)*((0.5*(D46+D40))-(0.4*O14)))+(((D38*T14)-(D36*U14))*0.5*(D46-D43))</f>
        <v>58885508.379106276</v>
      </c>
      <c r="X14" s="52">
        <f>V14/1000</f>
        <v>203.40712016908208</v>
      </c>
      <c r="Y14" s="60">
        <f>W14/POWER(1000,2)</f>
        <v>58.88550837910628</v>
      </c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72"/>
      <c r="AQ14" s="72"/>
      <c r="AR14" s="72"/>
      <c r="AS14" s="72"/>
    </row>
    <row r="15" spans="1:45" ht="12.75">
      <c r="A15" s="177"/>
      <c r="B15" s="139"/>
      <c r="C15" s="166"/>
      <c r="D15" s="175"/>
      <c r="E15" s="100"/>
      <c r="F15" s="100"/>
      <c r="G15" s="100"/>
      <c r="H15" s="100"/>
      <c r="I15" s="100"/>
      <c r="J15" s="100"/>
      <c r="K15" s="100"/>
      <c r="M15" s="120"/>
      <c r="N15" s="51">
        <f>O15/D46</f>
        <v>0.23258827340459992</v>
      </c>
      <c r="O15" s="39">
        <f>((-R15*D46)+(Q15*D43))/(-R15+Q15)</f>
        <v>73.26530612244898</v>
      </c>
      <c r="P15" s="34">
        <f>Q15*O15/(D46-O15)</f>
        <v>0.003030814689742507</v>
      </c>
      <c r="Q15" s="31">
        <f>D25</f>
        <v>0.01</v>
      </c>
      <c r="R15" s="53">
        <f>-D22</f>
        <v>-0.001582946390882229</v>
      </c>
      <c r="S15" s="31">
        <f>0.85*D1</f>
        <v>13.228124999999999</v>
      </c>
      <c r="T15" s="31">
        <f>D8</f>
        <v>326.0869565217392</v>
      </c>
      <c r="U15" s="31">
        <f>MAX(R15*D31,-D5)</f>
        <v>-326.0869565217392</v>
      </c>
      <c r="V15" s="36">
        <f>(S15*D52*0.8*O15)-((D38*T15)+(D36*U15))</f>
        <v>271365.5357142857</v>
      </c>
      <c r="W15" s="36">
        <f>((S15*D52*0.8*O15)*((0.5*(D46+D40))-(0.4*O15)))+(((D38*T15)-(D36*U15))*0.5*(D46-D43))</f>
        <v>67658036.26235898</v>
      </c>
      <c r="X15" s="18">
        <f t="shared" si="0"/>
        <v>271.36553571428567</v>
      </c>
      <c r="Y15" s="19">
        <f t="shared" si="1"/>
        <v>67.65803626235898</v>
      </c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72"/>
      <c r="AQ15" s="72"/>
      <c r="AR15" s="72"/>
      <c r="AS15" s="72"/>
    </row>
    <row r="16" spans="1:45" ht="12.75">
      <c r="A16" s="177"/>
      <c r="B16" s="139"/>
      <c r="C16" s="164" t="s">
        <v>25</v>
      </c>
      <c r="D16" s="179">
        <v>0.002</v>
      </c>
      <c r="E16" s="100"/>
      <c r="F16" s="100"/>
      <c r="G16" s="100"/>
      <c r="H16" s="100"/>
      <c r="I16" s="100"/>
      <c r="J16" s="100"/>
      <c r="K16" s="100"/>
      <c r="M16" s="120"/>
      <c r="N16" s="2">
        <v>0.25</v>
      </c>
      <c r="O16" s="31">
        <f>N16*D46</f>
        <v>78.75</v>
      </c>
      <c r="P16" s="34">
        <f>Q16*O16/(D46-O16)</f>
        <v>0.003333333333333333</v>
      </c>
      <c r="Q16" s="31">
        <f>D25</f>
        <v>0.01</v>
      </c>
      <c r="R16" s="34">
        <f>Q16*(D43-O16)/(D46-O16)</f>
        <v>-0.001851851851851852</v>
      </c>
      <c r="S16" s="31">
        <f>0.85*D1</f>
        <v>13.228124999999999</v>
      </c>
      <c r="T16" s="31">
        <f>D8</f>
        <v>326.0869565217392</v>
      </c>
      <c r="U16" s="31">
        <f>MAX(R16*D31,-D5)</f>
        <v>-326.0869565217392</v>
      </c>
      <c r="V16" s="36">
        <f>(S16*D52*0.8*O16)-((D38*T16)+(D36*U16))</f>
        <v>291680.15624999994</v>
      </c>
      <c r="W16" s="36">
        <f>((S16*D52*0.8*O16)*((0.5*(D46+D40))-(0.4*O16)))+(((D38*T16)-(D36*U16))*0.5*(D46-D43))</f>
        <v>69977841.55230978</v>
      </c>
      <c r="X16" s="18">
        <f t="shared" si="0"/>
        <v>291.6801562499999</v>
      </c>
      <c r="Y16" s="19">
        <f t="shared" si="1"/>
        <v>69.97784155230978</v>
      </c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72"/>
      <c r="AQ16" s="72"/>
      <c r="AR16" s="72"/>
      <c r="AS16" s="72"/>
    </row>
    <row r="17" spans="1:45" ht="12.75">
      <c r="A17" s="177"/>
      <c r="B17" s="139"/>
      <c r="C17" s="165"/>
      <c r="D17" s="174"/>
      <c r="E17" s="100"/>
      <c r="F17" s="100"/>
      <c r="G17" s="100"/>
      <c r="H17" s="100"/>
      <c r="I17" s="100"/>
      <c r="J17" s="100"/>
      <c r="K17" s="100"/>
      <c r="M17" s="11"/>
      <c r="N17" s="14">
        <f>1/(1+D25/D13)</f>
        <v>0.25925925925925924</v>
      </c>
      <c r="O17" s="15">
        <f>N17*D46</f>
        <v>81.66666666666666</v>
      </c>
      <c r="P17" s="63">
        <f>Q17*O17/(D46-O17)</f>
        <v>0.003499999999999999</v>
      </c>
      <c r="Q17" s="62">
        <f>D25</f>
        <v>0.01</v>
      </c>
      <c r="R17" s="35">
        <f>Q17*(D43-O17)/(D46-O17)</f>
        <v>-0.0019999999999999996</v>
      </c>
      <c r="S17" s="15">
        <f>0.85*D1</f>
        <v>13.228124999999999</v>
      </c>
      <c r="T17" s="15">
        <f>D8</f>
        <v>326.0869565217392</v>
      </c>
      <c r="U17" s="15">
        <f>MAX(R17*D31,-D5)</f>
        <v>-326.0869565217392</v>
      </c>
      <c r="V17" s="37">
        <f>(S17*D52*0.8*O17)-((D38*T17)+(D36*U17))</f>
        <v>302483.12499999994</v>
      </c>
      <c r="W17" s="37">
        <f>((S17*D52*0.8*O17)*((0.5*(D46+D40))-(0.4*O17)))+(((D38*T17)-(D36*U17))*0.5*(D46-D43))</f>
        <v>71175170.58876811</v>
      </c>
      <c r="X17" s="20">
        <f t="shared" si="0"/>
        <v>302.4831249999999</v>
      </c>
      <c r="Y17" s="21">
        <f t="shared" si="1"/>
        <v>71.17517058876811</v>
      </c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72"/>
      <c r="AQ17" s="72"/>
      <c r="AR17" s="72"/>
      <c r="AS17" s="72"/>
    </row>
    <row r="18" spans="1:45" ht="13.5" thickBot="1">
      <c r="A18" s="177"/>
      <c r="B18" s="139"/>
      <c r="C18" s="181"/>
      <c r="D18" s="196"/>
      <c r="E18" s="100"/>
      <c r="F18" s="100"/>
      <c r="G18" s="100"/>
      <c r="H18" s="100"/>
      <c r="I18" s="100"/>
      <c r="J18" s="100"/>
      <c r="K18" s="100"/>
      <c r="M18" s="120">
        <v>3</v>
      </c>
      <c r="N18" s="8">
        <v>0.3</v>
      </c>
      <c r="O18" s="39">
        <f>N18*D46</f>
        <v>94.5</v>
      </c>
      <c r="P18" s="38">
        <f>D13</f>
        <v>0.0035</v>
      </c>
      <c r="Q18" s="34">
        <f>P18*(D46-O18)/O18</f>
        <v>0.008166666666666668</v>
      </c>
      <c r="R18" s="34">
        <f>P18*(D43-O18)/O18</f>
        <v>-0.002203703703703704</v>
      </c>
      <c r="S18" s="31">
        <f>0.85*D1</f>
        <v>13.228124999999999</v>
      </c>
      <c r="T18" s="39">
        <f>D8</f>
        <v>326.0869565217392</v>
      </c>
      <c r="U18" s="39">
        <f>MAX(R18*D31,-D5)</f>
        <v>-326.0869565217392</v>
      </c>
      <c r="V18" s="45">
        <f>(S18*D52*0.8*O18)-((D38*T18)+(D36*U18))</f>
        <v>350016.18749999994</v>
      </c>
      <c r="W18" s="45">
        <f>((S18*D52*0.8*O18)*((0.5*(D46+D40))-(0.4*O18)))+(((D38*T18)-(D36*U18))*0.5*(D46-D43))</f>
        <v>76143960.05543478</v>
      </c>
      <c r="X18" s="18">
        <f t="shared" si="0"/>
        <v>350.01618749999994</v>
      </c>
      <c r="Y18" s="19">
        <f t="shared" si="1"/>
        <v>76.14396005543477</v>
      </c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72"/>
      <c r="AQ18" s="72"/>
      <c r="AR18" s="72"/>
      <c r="AS18" s="72"/>
    </row>
    <row r="19" spans="1:45" ht="13.5" thickTop="1">
      <c r="A19" s="177"/>
      <c r="B19" s="139"/>
      <c r="C19" s="180" t="s">
        <v>26</v>
      </c>
      <c r="D19" s="173">
        <v>0.01</v>
      </c>
      <c r="E19" s="100"/>
      <c r="F19" s="100"/>
      <c r="G19" s="100"/>
      <c r="H19" s="100"/>
      <c r="I19" s="100"/>
      <c r="J19" s="100"/>
      <c r="K19" s="100"/>
      <c r="M19" s="120"/>
      <c r="N19" s="2">
        <v>0.35</v>
      </c>
      <c r="O19" s="39">
        <f>N19*D46</f>
        <v>110.25</v>
      </c>
      <c r="P19" s="38">
        <f>D13</f>
        <v>0.0035</v>
      </c>
      <c r="Q19" s="34">
        <f>P19*(D46-O19)/O19</f>
        <v>0.006500000000000001</v>
      </c>
      <c r="R19" s="34">
        <f>P19*(D43-O19)/O19</f>
        <v>-0.002388888888888889</v>
      </c>
      <c r="S19" s="31">
        <f>0.85*D1</f>
        <v>13.228124999999999</v>
      </c>
      <c r="T19" s="39">
        <f>D8</f>
        <v>326.0869565217392</v>
      </c>
      <c r="U19" s="39">
        <f>MAX(R19*D31,-D5)</f>
        <v>-326.0869565217392</v>
      </c>
      <c r="V19" s="45">
        <f>(S19*D52*0.8*O19)-((D38*T19)+(D36*U19))</f>
        <v>408352.21874999994</v>
      </c>
      <c r="W19" s="45">
        <f>((S19*D52*0.8*O19)*((0.5*(D46+D40))-(0.4*O19)))+(((D38*T19)-(D36*U19))*0.5*(D46-D43))</f>
        <v>81575044.56480978</v>
      </c>
      <c r="X19" s="18">
        <f t="shared" si="0"/>
        <v>408.35221874999996</v>
      </c>
      <c r="Y19" s="19">
        <f t="shared" si="1"/>
        <v>81.57504456480979</v>
      </c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72"/>
      <c r="AQ19" s="72"/>
      <c r="AR19" s="72"/>
      <c r="AS19" s="72"/>
    </row>
    <row r="20" spans="1:45" ht="12.75">
      <c r="A20" s="177"/>
      <c r="B20" s="139"/>
      <c r="C20" s="165"/>
      <c r="D20" s="174"/>
      <c r="E20" s="100"/>
      <c r="F20" s="100"/>
      <c r="G20" s="100"/>
      <c r="H20" s="100"/>
      <c r="I20" s="100"/>
      <c r="J20" s="100"/>
      <c r="K20" s="100"/>
      <c r="M20" s="120"/>
      <c r="N20" s="8">
        <v>0.4</v>
      </c>
      <c r="O20" s="39">
        <f>N20*D46</f>
        <v>126</v>
      </c>
      <c r="P20" s="38">
        <f>D13</f>
        <v>0.0035</v>
      </c>
      <c r="Q20" s="34">
        <f>P20*(D46-O20)/O20</f>
        <v>0.0052499999999999995</v>
      </c>
      <c r="R20" s="34">
        <f>P20*(D43-O20)/O20</f>
        <v>-0.0025277777777777777</v>
      </c>
      <c r="S20" s="31">
        <f>0.85*D1</f>
        <v>13.228124999999999</v>
      </c>
      <c r="T20" s="39">
        <f>D8</f>
        <v>326.0869565217392</v>
      </c>
      <c r="U20" s="39">
        <f>MAX(R20*D31,-D5)</f>
        <v>-326.0869565217392</v>
      </c>
      <c r="V20" s="45">
        <f>(S20*D52*0.8*O20)-((D38*T20)+(D36*U20))</f>
        <v>466688.24999999994</v>
      </c>
      <c r="W20" s="45">
        <f>((S20*D52*0.8*O20)*((0.5*(D46+D40))-(0.4*O20)))+(((D38*T20)-(D36*U20))*0.5*(D46-D43))</f>
        <v>86271095.08043477</v>
      </c>
      <c r="X20" s="18">
        <f t="shared" si="0"/>
        <v>466.6882499999999</v>
      </c>
      <c r="Y20" s="19">
        <f t="shared" si="1"/>
        <v>86.27109508043478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72"/>
      <c r="AQ20" s="72"/>
      <c r="AR20" s="72"/>
      <c r="AS20" s="72"/>
    </row>
    <row r="21" spans="1:45" ht="12.75">
      <c r="A21" s="177"/>
      <c r="B21" s="139"/>
      <c r="C21" s="166"/>
      <c r="D21" s="175"/>
      <c r="E21" s="100"/>
      <c r="F21" s="100"/>
      <c r="G21" s="100"/>
      <c r="H21" s="100"/>
      <c r="I21" s="100"/>
      <c r="J21" s="100"/>
      <c r="K21" s="100"/>
      <c r="M21" s="120"/>
      <c r="N21" s="2">
        <v>0.45</v>
      </c>
      <c r="O21" s="39">
        <f>N21*D46</f>
        <v>141.75</v>
      </c>
      <c r="P21" s="38">
        <f>D13</f>
        <v>0.0035</v>
      </c>
      <c r="Q21" s="34">
        <f>P21*(D46-O21)/O21</f>
        <v>0.004277777777777778</v>
      </c>
      <c r="R21" s="34">
        <f>P21*(D43-O21)/O21</f>
        <v>-0.0026358024691358023</v>
      </c>
      <c r="S21" s="31">
        <f>0.85*D1</f>
        <v>13.228124999999999</v>
      </c>
      <c r="T21" s="39">
        <f>D8</f>
        <v>326.0869565217392</v>
      </c>
      <c r="U21" s="39">
        <f>MAX(R21*D31,-D5)</f>
        <v>-326.0869565217392</v>
      </c>
      <c r="V21" s="45">
        <f>(S21*D52*0.8*O21)-((D38*T21)+(D36*U21))</f>
        <v>525024.2812499999</v>
      </c>
      <c r="W21" s="45">
        <f>((S21*D52*0.8*O21)*((0.5*(D46+D40))-(0.4*O21)))+(((D38*T21)-(D36*U21))*0.5*(D46-D43))</f>
        <v>90232111.60230976</v>
      </c>
      <c r="X21" s="18">
        <f t="shared" si="0"/>
        <v>525.0242812499998</v>
      </c>
      <c r="Y21" s="19">
        <f t="shared" si="1"/>
        <v>90.23211160230976</v>
      </c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72"/>
      <c r="AQ21" s="72"/>
      <c r="AR21" s="72"/>
      <c r="AS21" s="72"/>
    </row>
    <row r="22" spans="1:45" ht="12.75">
      <c r="A22" s="177"/>
      <c r="B22" s="139"/>
      <c r="C22" s="164" t="s">
        <v>27</v>
      </c>
      <c r="D22" s="179">
        <f>D5/D31</f>
        <v>0.001582946390882229</v>
      </c>
      <c r="E22" s="100"/>
      <c r="F22" s="100"/>
      <c r="G22" s="100"/>
      <c r="H22" s="100"/>
      <c r="I22" s="100"/>
      <c r="J22" s="100"/>
      <c r="K22" s="100"/>
      <c r="M22" s="120"/>
      <c r="N22" s="8">
        <v>0.5</v>
      </c>
      <c r="O22" s="39">
        <f>N22*D46</f>
        <v>157.5</v>
      </c>
      <c r="P22" s="38">
        <f>D13</f>
        <v>0.0035</v>
      </c>
      <c r="Q22" s="34">
        <f>P22*(D46-O22)/O22</f>
        <v>0.0035</v>
      </c>
      <c r="R22" s="34">
        <f>P22*(D43-O22)/O22</f>
        <v>-0.0027222222222222222</v>
      </c>
      <c r="S22" s="31">
        <f>0.85*D1</f>
        <v>13.228124999999999</v>
      </c>
      <c r="T22" s="39">
        <f>D8</f>
        <v>326.0869565217392</v>
      </c>
      <c r="U22" s="39">
        <f>MAX(R22*D31,-D5)</f>
        <v>-326.0869565217392</v>
      </c>
      <c r="V22" s="45">
        <f>(S22*D52*0.8*O22)-((D38*T22)+(D36*U22))</f>
        <v>583360.3124999999</v>
      </c>
      <c r="W22" s="45">
        <f>((S22*D52*0.8*O22)*((0.5*(D46+D40))-(0.4*O22)))+(((D38*T22)-(D36*U22))*0.5*(D46-D43))</f>
        <v>93458094.13043477</v>
      </c>
      <c r="X22" s="18">
        <f t="shared" si="0"/>
        <v>583.3603124999998</v>
      </c>
      <c r="Y22" s="19">
        <f t="shared" si="1"/>
        <v>93.45809413043477</v>
      </c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72"/>
      <c r="AQ22" s="72"/>
      <c r="AR22" s="72"/>
      <c r="AS22" s="72"/>
    </row>
    <row r="23" spans="1:45" ht="12.75">
      <c r="A23" s="177"/>
      <c r="B23" s="139"/>
      <c r="C23" s="165"/>
      <c r="D23" s="174"/>
      <c r="E23" s="100"/>
      <c r="F23" s="100"/>
      <c r="G23" s="100"/>
      <c r="H23" s="100"/>
      <c r="I23" s="100"/>
      <c r="J23" s="100"/>
      <c r="K23" s="100"/>
      <c r="M23" s="120"/>
      <c r="N23" s="2">
        <v>0.55</v>
      </c>
      <c r="O23" s="39">
        <f>N23*D46</f>
        <v>173.25</v>
      </c>
      <c r="P23" s="38">
        <f>D13</f>
        <v>0.0035</v>
      </c>
      <c r="Q23" s="34">
        <f>P23*(D46-O23)/O23</f>
        <v>0.0028636363636363633</v>
      </c>
      <c r="R23" s="34">
        <f>P23*(D43-O23)/O23</f>
        <v>-0.002792929292929293</v>
      </c>
      <c r="S23" s="31">
        <f>0.85*D1</f>
        <v>13.228124999999999</v>
      </c>
      <c r="T23" s="39">
        <f>D8</f>
        <v>326.0869565217392</v>
      </c>
      <c r="U23" s="39">
        <f>MAX(R23*D31,-D5)</f>
        <v>-326.0869565217392</v>
      </c>
      <c r="V23" s="45">
        <f>(S23*D52*0.8*O23)-((D38*T23)+(D36*U23))</f>
        <v>641696.3437499999</v>
      </c>
      <c r="W23" s="45">
        <f>((S23*D52*0.8*O23)*((0.5*(D46+D40))-(0.4*O23)))+(((D38*T23)-(D36*U23))*0.5*(D46-D43))</f>
        <v>95949042.66480976</v>
      </c>
      <c r="X23" s="18">
        <f t="shared" si="0"/>
        <v>641.6963437499999</v>
      </c>
      <c r="Y23" s="19">
        <f t="shared" si="1"/>
        <v>95.94904266480977</v>
      </c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72"/>
      <c r="AQ23" s="72"/>
      <c r="AR23" s="72"/>
      <c r="AS23" s="72"/>
    </row>
    <row r="24" spans="1:45" ht="12.75">
      <c r="A24" s="177"/>
      <c r="B24" s="139"/>
      <c r="C24" s="166"/>
      <c r="D24" s="175"/>
      <c r="E24" s="100"/>
      <c r="F24" s="100"/>
      <c r="G24" s="100"/>
      <c r="H24" s="100"/>
      <c r="I24" s="100"/>
      <c r="J24" s="100"/>
      <c r="K24" s="100"/>
      <c r="M24" s="120"/>
      <c r="N24" s="8">
        <v>0.6</v>
      </c>
      <c r="O24" s="39">
        <f>N24*D46</f>
        <v>189</v>
      </c>
      <c r="P24" s="38">
        <f>D13</f>
        <v>0.0035</v>
      </c>
      <c r="Q24" s="34">
        <f>P24*(D46-O24)/O24</f>
        <v>0.0023333333333333335</v>
      </c>
      <c r="R24" s="34">
        <f>P24*(D43-O24)/O24</f>
        <v>-0.002851851851851852</v>
      </c>
      <c r="S24" s="31">
        <f>0.85*D1</f>
        <v>13.228124999999999</v>
      </c>
      <c r="T24" s="39">
        <f>D8</f>
        <v>326.0869565217392</v>
      </c>
      <c r="U24" s="39">
        <f>MAX(R24*D31,-D5)</f>
        <v>-326.0869565217392</v>
      </c>
      <c r="V24" s="45">
        <f>(S24*D52*0.8*O24)-((D38*T24)+(D36*U24))</f>
        <v>700032.3749999999</v>
      </c>
      <c r="W24" s="45">
        <f>((S24*D52*0.8*O24)*((0.5*(D46+D40))-(0.4*O24)))+(((D38*T24)-(D36*U24))*0.5*(D46-D43))</f>
        <v>97704957.20543477</v>
      </c>
      <c r="X24" s="18">
        <f t="shared" si="0"/>
        <v>700.0323749999999</v>
      </c>
      <c r="Y24" s="19">
        <f t="shared" si="1"/>
        <v>97.70495720543477</v>
      </c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72"/>
      <c r="AQ24" s="72"/>
      <c r="AR24" s="72"/>
      <c r="AS24" s="72"/>
    </row>
    <row r="25" spans="1:45" ht="12.75">
      <c r="A25" s="177"/>
      <c r="B25" s="139"/>
      <c r="C25" s="164" t="s">
        <v>28</v>
      </c>
      <c r="D25" s="179">
        <v>0.01</v>
      </c>
      <c r="E25" s="100"/>
      <c r="F25" s="100"/>
      <c r="G25" s="100"/>
      <c r="H25" s="100"/>
      <c r="I25" s="100"/>
      <c r="J25" s="100"/>
      <c r="K25" s="100"/>
      <c r="M25" s="120"/>
      <c r="N25" s="2">
        <v>0.65</v>
      </c>
      <c r="O25" s="39">
        <f>N25*D46</f>
        <v>204.75</v>
      </c>
      <c r="P25" s="38">
        <f>D13</f>
        <v>0.0035</v>
      </c>
      <c r="Q25" s="34">
        <f>P25*(D46-O25)/O25</f>
        <v>0.0018846153846153848</v>
      </c>
      <c r="R25" s="34">
        <f>P25*(D43-O25)/O25</f>
        <v>-0.0029017094017094016</v>
      </c>
      <c r="S25" s="31">
        <f>0.85*D1</f>
        <v>13.228124999999999</v>
      </c>
      <c r="T25" s="39">
        <f>D8</f>
        <v>326.0869565217392</v>
      </c>
      <c r="U25" s="39">
        <f>MAX(R25*D31,-D5)</f>
        <v>-326.0869565217392</v>
      </c>
      <c r="V25" s="45">
        <f>(S25*D52*0.8*O25)-((D38*T25)+(D36*U25))</f>
        <v>758368.4062499999</v>
      </c>
      <c r="W25" s="45">
        <f>((S25*D52*0.8*O25)*((0.5*(D46+D40))-(0.4*O25)))+(((D38*T25)-(D36*U25))*0.5*(D46-D43))</f>
        <v>98725837.75230977</v>
      </c>
      <c r="X25" s="18">
        <f t="shared" si="0"/>
        <v>758.3684062499999</v>
      </c>
      <c r="Y25" s="19">
        <f t="shared" si="1"/>
        <v>98.72583775230977</v>
      </c>
      <c r="Z25" s="103"/>
      <c r="AA25" s="103"/>
      <c r="AB25" s="102"/>
      <c r="AC25" s="102"/>
      <c r="AD25" s="102"/>
      <c r="AE25" s="102"/>
      <c r="AF25" s="102"/>
      <c r="AG25" s="103"/>
      <c r="AH25" s="103"/>
      <c r="AI25" s="103"/>
      <c r="AJ25" s="103"/>
      <c r="AK25" s="103"/>
      <c r="AL25" s="103"/>
      <c r="AM25" s="103"/>
      <c r="AN25" s="103"/>
      <c r="AO25" s="103"/>
      <c r="AP25" s="72"/>
      <c r="AQ25" s="72"/>
      <c r="AR25" s="72"/>
      <c r="AS25" s="72"/>
    </row>
    <row r="26" spans="1:45" ht="12.75">
      <c r="A26" s="177"/>
      <c r="B26" s="139"/>
      <c r="C26" s="165"/>
      <c r="D26" s="174"/>
      <c r="E26" s="100"/>
      <c r="F26" s="100"/>
      <c r="G26" s="100"/>
      <c r="H26" s="100"/>
      <c r="I26" s="100"/>
      <c r="J26" s="100"/>
      <c r="K26" s="100"/>
      <c r="M26" s="11"/>
      <c r="N26" s="14">
        <f>1/(1+D28/D13)</f>
        <v>0.6885770045260142</v>
      </c>
      <c r="O26" s="15">
        <f>N26*D46</f>
        <v>216.9017564256945</v>
      </c>
      <c r="P26" s="46">
        <f>D13</f>
        <v>0.0035</v>
      </c>
      <c r="Q26" s="61">
        <f>P26*(D46-O26)/O26</f>
        <v>0.0015829463908822285</v>
      </c>
      <c r="R26" s="35">
        <f>P26*(D43-O26)/O26</f>
        <v>-0.0029352281787908634</v>
      </c>
      <c r="S26" s="15">
        <f>0.85*D1</f>
        <v>13.228124999999999</v>
      </c>
      <c r="T26" s="15">
        <f>Q26*D31</f>
        <v>326.08695652173907</v>
      </c>
      <c r="U26" s="15">
        <f>MAX(R26*D31,-D5)</f>
        <v>-326.0869565217392</v>
      </c>
      <c r="V26" s="37">
        <f>(S26*D52*0.8*O26)-((D38*T26)+(D36*U26))</f>
        <v>803376.993081219</v>
      </c>
      <c r="W26" s="37">
        <f>((S26*D52*0.8*O26)*((0.5*(D46+D40))-(0.4*O26)))+(((D38*T26)-(D36*U26))*0.5*(D46-D43))</f>
        <v>99011160.57112435</v>
      </c>
      <c r="X26" s="20">
        <f t="shared" si="0"/>
        <v>803.376993081219</v>
      </c>
      <c r="Y26" s="21">
        <f t="shared" si="1"/>
        <v>99.01116057112435</v>
      </c>
      <c r="Z26" s="103"/>
      <c r="AA26" s="103"/>
      <c r="AB26" s="103"/>
      <c r="AC26" s="102"/>
      <c r="AD26" s="102"/>
      <c r="AE26" s="102"/>
      <c r="AF26" s="102"/>
      <c r="AG26" s="103"/>
      <c r="AH26" s="103"/>
      <c r="AI26" s="103"/>
      <c r="AJ26" s="103"/>
      <c r="AK26" s="103"/>
      <c r="AL26" s="103"/>
      <c r="AM26" s="103"/>
      <c r="AN26" s="103"/>
      <c r="AO26" s="103"/>
      <c r="AP26" s="72"/>
      <c r="AQ26" s="72"/>
      <c r="AR26" s="72"/>
      <c r="AS26" s="72"/>
    </row>
    <row r="27" spans="1:45" ht="12.75">
      <c r="A27" s="177"/>
      <c r="B27" s="139"/>
      <c r="C27" s="166"/>
      <c r="D27" s="175"/>
      <c r="E27" s="100"/>
      <c r="F27" s="100"/>
      <c r="G27" s="100"/>
      <c r="H27" s="100"/>
      <c r="I27" s="100"/>
      <c r="J27" s="100"/>
      <c r="K27" s="100"/>
      <c r="M27" s="120">
        <v>4</v>
      </c>
      <c r="N27" s="8">
        <v>0.7</v>
      </c>
      <c r="O27" s="39">
        <f>N27*D46</f>
        <v>220.5</v>
      </c>
      <c r="P27" s="38">
        <f>D13</f>
        <v>0.0035</v>
      </c>
      <c r="Q27" s="34">
        <f>P27*(D46-O27)/O27</f>
        <v>0.0015</v>
      </c>
      <c r="R27" s="34">
        <f>P27*(D43-O27)/O27</f>
        <v>-0.0029444444444444444</v>
      </c>
      <c r="S27" s="31">
        <f>0.85*D1</f>
        <v>13.228124999999999</v>
      </c>
      <c r="T27" s="31">
        <f>Q27*D31</f>
        <v>309</v>
      </c>
      <c r="U27" s="39">
        <f>MAX(R27*D31,-D5)</f>
        <v>-326.0869565217392</v>
      </c>
      <c r="V27" s="45">
        <f>(S27*D52*0.8*O27)-((D38*T27)+(D36*U27))</f>
        <v>821967.2201086956</v>
      </c>
      <c r="W27" s="45">
        <f>((S27*D52*0.8*O27)*((0.5*(D46+D40))-(0.4*O27)))+(((D38*T27)-(D36*U27))*0.5*(D46-D43))</f>
        <v>98274894.74021737</v>
      </c>
      <c r="X27" s="18">
        <f t="shared" si="0"/>
        <v>821.9672201086955</v>
      </c>
      <c r="Y27" s="19">
        <f t="shared" si="1"/>
        <v>98.27489474021738</v>
      </c>
      <c r="Z27" s="103"/>
      <c r="AA27" s="103"/>
      <c r="AB27" s="102"/>
      <c r="AC27" s="102"/>
      <c r="AD27" s="102"/>
      <c r="AE27" s="102"/>
      <c r="AF27" s="102"/>
      <c r="AG27" s="103"/>
      <c r="AH27" s="103"/>
      <c r="AI27" s="103"/>
      <c r="AJ27" s="103"/>
      <c r="AK27" s="103"/>
      <c r="AL27" s="103"/>
      <c r="AM27" s="103"/>
      <c r="AN27" s="103"/>
      <c r="AO27" s="103"/>
      <c r="AP27" s="72"/>
      <c r="AQ27" s="72"/>
      <c r="AR27" s="72"/>
      <c r="AS27" s="72"/>
    </row>
    <row r="28" spans="1:45" ht="12.75">
      <c r="A28" s="177"/>
      <c r="B28" s="139"/>
      <c r="C28" s="164" t="s">
        <v>29</v>
      </c>
      <c r="D28" s="179">
        <f>D8/D31</f>
        <v>0.001582946390882229</v>
      </c>
      <c r="E28" s="100"/>
      <c r="F28" s="100"/>
      <c r="G28" s="100"/>
      <c r="H28" s="100"/>
      <c r="I28" s="100"/>
      <c r="J28" s="100"/>
      <c r="K28" s="100"/>
      <c r="M28" s="120"/>
      <c r="N28" s="2">
        <v>0.75</v>
      </c>
      <c r="O28" s="39">
        <f>N28*D46</f>
        <v>236.25</v>
      </c>
      <c r="P28" s="38">
        <f>D13</f>
        <v>0.0035</v>
      </c>
      <c r="Q28" s="34">
        <f>P28*(D46-O28)/O28</f>
        <v>0.0011666666666666668</v>
      </c>
      <c r="R28" s="34">
        <f>P28*(D43-O28)/O28</f>
        <v>-0.0029814814814814812</v>
      </c>
      <c r="S28" s="31">
        <f>0.85*D1</f>
        <v>13.228124999999999</v>
      </c>
      <c r="T28" s="31">
        <f>Q28*D31</f>
        <v>240.33333333333334</v>
      </c>
      <c r="U28" s="39">
        <f>MAX(R28*D31,-D5)</f>
        <v>-326.0869565217392</v>
      </c>
      <c r="V28" s="45">
        <f>(S28*D52*0.8*O28)-((D38*T28)+(D36*U28))</f>
        <v>901452.5846920288</v>
      </c>
      <c r="W28" s="45">
        <f>((S28*D52*0.8*O28)*((0.5*(D46+D40))-(0.4*O28)))+(((D38*T28)-(D36*U28))*0.5*(D46-D43))</f>
        <v>94864800.63292572</v>
      </c>
      <c r="X28" s="18">
        <f t="shared" si="0"/>
        <v>901.4525846920288</v>
      </c>
      <c r="Y28" s="19">
        <f t="shared" si="1"/>
        <v>94.86480063292572</v>
      </c>
      <c r="Z28" s="103"/>
      <c r="AA28" s="103"/>
      <c r="AB28" s="102"/>
      <c r="AC28" s="9"/>
      <c r="AD28" s="9"/>
      <c r="AE28" s="9"/>
      <c r="AF28" s="9"/>
      <c r="AG28" s="103"/>
      <c r="AH28" s="103"/>
      <c r="AI28" s="103"/>
      <c r="AJ28" s="103"/>
      <c r="AK28" s="103"/>
      <c r="AL28" s="103"/>
      <c r="AM28" s="103"/>
      <c r="AN28" s="103"/>
      <c r="AO28" s="103"/>
      <c r="AP28" s="72"/>
      <c r="AQ28" s="72"/>
      <c r="AR28" s="72"/>
      <c r="AS28" s="72"/>
    </row>
    <row r="29" spans="1:45" ht="12.75">
      <c r="A29" s="177"/>
      <c r="B29" s="139"/>
      <c r="C29" s="165"/>
      <c r="D29" s="174"/>
      <c r="E29" s="100"/>
      <c r="F29" s="100"/>
      <c r="G29" s="99"/>
      <c r="H29" s="99"/>
      <c r="I29" s="99"/>
      <c r="J29" s="100"/>
      <c r="K29" s="100"/>
      <c r="M29" s="120"/>
      <c r="N29" s="8">
        <v>0.8</v>
      </c>
      <c r="O29" s="39">
        <f>N29*D46</f>
        <v>252</v>
      </c>
      <c r="P29" s="38">
        <f>D13</f>
        <v>0.0035</v>
      </c>
      <c r="Q29" s="34">
        <f>P29*(D46-O29)/O29</f>
        <v>0.000875</v>
      </c>
      <c r="R29" s="34">
        <f>P29*(D43-O29)/O29</f>
        <v>-0.0030138888888888893</v>
      </c>
      <c r="S29" s="31">
        <f>0.85*D1</f>
        <v>13.228124999999999</v>
      </c>
      <c r="T29" s="31">
        <f>Q29*D31</f>
        <v>180.25</v>
      </c>
      <c r="U29" s="39">
        <f>MAX(R29*D31,-D5)</f>
        <v>-326.0869565217392</v>
      </c>
      <c r="V29" s="45">
        <f>(S29*D52*0.8*O29)-((D38*T29)+(D36*U29))</f>
        <v>978294.2826086956</v>
      </c>
      <c r="W29" s="45">
        <f>((S29*D52*0.8*O29)*((0.5*(D46+D40))-(0.4*O29)))+(((D38*T29)-(D36*U29))*0.5*(D46-D43))</f>
        <v>91089785.86521737</v>
      </c>
      <c r="X29" s="18">
        <f t="shared" si="0"/>
        <v>978.2942826086955</v>
      </c>
      <c r="Y29" s="19">
        <f t="shared" si="1"/>
        <v>91.08978586521738</v>
      </c>
      <c r="Z29" s="103"/>
      <c r="AA29" s="103"/>
      <c r="AB29" s="102"/>
      <c r="AC29" s="102"/>
      <c r="AD29" s="102"/>
      <c r="AE29" s="102"/>
      <c r="AF29" s="102"/>
      <c r="AG29" s="103"/>
      <c r="AH29" s="103"/>
      <c r="AI29" s="103"/>
      <c r="AJ29" s="103"/>
      <c r="AK29" s="103"/>
      <c r="AL29" s="103"/>
      <c r="AM29" s="103"/>
      <c r="AN29" s="103"/>
      <c r="AO29" s="103"/>
      <c r="AP29" s="72"/>
      <c r="AQ29" s="72"/>
      <c r="AR29" s="72"/>
      <c r="AS29" s="72"/>
    </row>
    <row r="30" spans="1:45" ht="12.75">
      <c r="A30" s="177"/>
      <c r="B30" s="156"/>
      <c r="C30" s="166"/>
      <c r="D30" s="175"/>
      <c r="E30" s="100"/>
      <c r="F30" s="100"/>
      <c r="G30" s="99"/>
      <c r="H30" s="99"/>
      <c r="I30" s="99"/>
      <c r="J30" s="100"/>
      <c r="K30" s="100"/>
      <c r="M30" s="120"/>
      <c r="N30" s="2">
        <v>0.85</v>
      </c>
      <c r="O30" s="39">
        <f>N30*D46</f>
        <v>267.75</v>
      </c>
      <c r="P30" s="38">
        <f>D13</f>
        <v>0.0035</v>
      </c>
      <c r="Q30" s="34">
        <f>P30*(D46-O30)/O30</f>
        <v>0.0006176470588235294</v>
      </c>
      <c r="R30" s="34">
        <f>P30*(D43-O30)/O30</f>
        <v>-0.003042483660130719</v>
      </c>
      <c r="S30" s="31">
        <f>0.85*D1</f>
        <v>13.228124999999999</v>
      </c>
      <c r="T30" s="31">
        <f>Q30*D31</f>
        <v>127.23529411764706</v>
      </c>
      <c r="U30" s="39">
        <f>MAX(R30*D31,-D5)</f>
        <v>-326.0869565217392</v>
      </c>
      <c r="V30" s="45">
        <f>(S30*D52*0.8*O30)-((D38*T30)+(D36*U30))</f>
        <v>1052958.8432704601</v>
      </c>
      <c r="W30" s="45">
        <f>((S30*D52*0.8*O30)*((0.5*(D46+D40))-(0.4*O30)))+(((D38*T30)-(D36*U30))*0.5*(D46-D43))</f>
        <v>86884536.31944531</v>
      </c>
      <c r="X30" s="18">
        <f t="shared" si="0"/>
        <v>1052.9588432704602</v>
      </c>
      <c r="Y30" s="19">
        <f t="shared" si="1"/>
        <v>86.88453631944532</v>
      </c>
      <c r="Z30" s="103"/>
      <c r="AA30" s="103"/>
      <c r="AB30" s="102"/>
      <c r="AC30" s="102"/>
      <c r="AD30" s="102"/>
      <c r="AE30" s="102"/>
      <c r="AF30" s="102"/>
      <c r="AG30" s="103"/>
      <c r="AH30" s="103"/>
      <c r="AI30" s="103"/>
      <c r="AJ30" s="103"/>
      <c r="AK30" s="103"/>
      <c r="AL30" s="103"/>
      <c r="AM30" s="103"/>
      <c r="AN30" s="103"/>
      <c r="AO30" s="103"/>
      <c r="AP30" s="72"/>
      <c r="AQ30" s="72"/>
      <c r="AR30" s="72"/>
      <c r="AS30" s="72"/>
    </row>
    <row r="31" spans="1:45" ht="12.75">
      <c r="A31" s="177"/>
      <c r="B31" s="138" t="s">
        <v>17</v>
      </c>
      <c r="C31" s="197" t="s">
        <v>30</v>
      </c>
      <c r="D31" s="162">
        <v>206000</v>
      </c>
      <c r="E31" s="99"/>
      <c r="F31" s="99"/>
      <c r="G31" s="99"/>
      <c r="H31" s="99"/>
      <c r="I31" s="99"/>
      <c r="J31" s="99"/>
      <c r="K31" s="99"/>
      <c r="M31" s="120"/>
      <c r="N31" s="8">
        <v>0.9</v>
      </c>
      <c r="O31" s="39">
        <f>N31*D46</f>
        <v>283.5</v>
      </c>
      <c r="P31" s="38">
        <f>D13</f>
        <v>0.0035</v>
      </c>
      <c r="Q31" s="34">
        <f>P31*(D46-O31)/O31</f>
        <v>0.00038888888888888887</v>
      </c>
      <c r="R31" s="34">
        <f>P31*(D43-O31)/O31</f>
        <v>-0.003067901234567901</v>
      </c>
      <c r="S31" s="31">
        <f>0.85*D1</f>
        <v>13.228124999999999</v>
      </c>
      <c r="T31" s="31">
        <f>Q31*D31</f>
        <v>80.1111111111111</v>
      </c>
      <c r="U31" s="39">
        <f>MAX(R31*D31,-D5)</f>
        <v>-326.0869565217392</v>
      </c>
      <c r="V31" s="45">
        <f>(S31*D52*0.8*O31)-((D38*T31)+(D36*U31))</f>
        <v>1125809.1228864733</v>
      </c>
      <c r="W31" s="45">
        <f>((S31*D52*0.8*O31)*((0.5*(D46+D40))-(0.4*O31)))+(((D38*T31)-(D36*U31))*0.5*(D46-D43))</f>
        <v>82198252.12632848</v>
      </c>
      <c r="X31" s="18">
        <f t="shared" si="0"/>
        <v>1125.8091228864732</v>
      </c>
      <c r="Y31" s="19">
        <f t="shared" si="1"/>
        <v>82.19825212632848</v>
      </c>
      <c r="Z31" s="103"/>
      <c r="AA31" s="103"/>
      <c r="AB31" s="102"/>
      <c r="AC31" s="102"/>
      <c r="AD31" s="102"/>
      <c r="AE31" s="102"/>
      <c r="AF31" s="102"/>
      <c r="AG31" s="103"/>
      <c r="AH31" s="103"/>
      <c r="AI31" s="103"/>
      <c r="AJ31" s="103"/>
      <c r="AK31" s="103"/>
      <c r="AL31" s="103"/>
      <c r="AM31" s="103"/>
      <c r="AN31" s="103"/>
      <c r="AO31" s="103"/>
      <c r="AP31" s="72"/>
      <c r="AQ31" s="72"/>
      <c r="AR31" s="72"/>
      <c r="AS31" s="72"/>
    </row>
    <row r="32" spans="1:45" ht="12.75">
      <c r="A32" s="177"/>
      <c r="B32" s="139"/>
      <c r="C32" s="198"/>
      <c r="D32" s="182"/>
      <c r="E32" s="99"/>
      <c r="F32" s="99"/>
      <c r="G32" s="99"/>
      <c r="H32" s="99"/>
      <c r="I32" s="99"/>
      <c r="J32" s="99"/>
      <c r="K32" s="99"/>
      <c r="M32" s="120"/>
      <c r="N32" s="2">
        <v>0.95</v>
      </c>
      <c r="O32" s="39">
        <f>N32*D46</f>
        <v>299.25</v>
      </c>
      <c r="P32" s="38">
        <f>D13</f>
        <v>0.0035</v>
      </c>
      <c r="Q32" s="34">
        <f>P32*(D46-O32)/O32</f>
        <v>0.00018421052631578948</v>
      </c>
      <c r="R32" s="34">
        <f>P32*(D43-O32)/O32</f>
        <v>-0.0030906432748538013</v>
      </c>
      <c r="S32" s="31">
        <f>0.85*D1</f>
        <v>13.228124999999999</v>
      </c>
      <c r="T32" s="31">
        <f>Q32*D31</f>
        <v>37.94736842105263</v>
      </c>
      <c r="U32" s="39">
        <f>MAX(R32*D31,-D5)</f>
        <v>-326.0869565217392</v>
      </c>
      <c r="V32" s="45">
        <f>(S32*D52*0.8*O32)-((D38*T32)+(D36*U32))</f>
        <v>1197131.5868850113</v>
      </c>
      <c r="W32" s="45">
        <f>((S32*D52*0.8*O32)*((0.5*(D46+D40))-(0.4*O32)))+(((D38*T32)-(D36*U32))*0.5*(D46-D43))</f>
        <v>76990828.12590817</v>
      </c>
      <c r="X32" s="18">
        <f t="shared" si="0"/>
        <v>1197.1315868850113</v>
      </c>
      <c r="Y32" s="19">
        <f t="shared" si="1"/>
        <v>76.99082812590817</v>
      </c>
      <c r="Z32" s="103"/>
      <c r="AA32" s="102"/>
      <c r="AB32" s="102"/>
      <c r="AC32" s="102"/>
      <c r="AD32" s="102"/>
      <c r="AE32" s="102"/>
      <c r="AF32" s="102"/>
      <c r="AG32" s="103"/>
      <c r="AH32" s="103"/>
      <c r="AI32" s="103"/>
      <c r="AJ32" s="103"/>
      <c r="AK32" s="103"/>
      <c r="AL32" s="103"/>
      <c r="AM32" s="103"/>
      <c r="AN32" s="103"/>
      <c r="AO32" s="103"/>
      <c r="AP32" s="72"/>
      <c r="AQ32" s="72"/>
      <c r="AR32" s="72"/>
      <c r="AS32" s="72"/>
    </row>
    <row r="33" spans="1:45" ht="12.75">
      <c r="A33" s="177"/>
      <c r="B33" s="139"/>
      <c r="C33" s="198"/>
      <c r="D33" s="182"/>
      <c r="E33" s="99"/>
      <c r="F33" s="99"/>
      <c r="G33" s="99"/>
      <c r="H33" s="99"/>
      <c r="I33" s="99"/>
      <c r="J33" s="99"/>
      <c r="K33" s="99"/>
      <c r="M33" s="11"/>
      <c r="N33" s="108">
        <f>O33/D46</f>
        <v>1</v>
      </c>
      <c r="O33" s="15">
        <f>D46</f>
        <v>315</v>
      </c>
      <c r="P33" s="46">
        <f>D13</f>
        <v>0.0035</v>
      </c>
      <c r="Q33" s="62">
        <f>P33*(D46-O33)/O33</f>
        <v>0</v>
      </c>
      <c r="R33" s="13">
        <f>P33*(D43-O33)/O33</f>
        <v>-0.003111111111111111</v>
      </c>
      <c r="S33" s="15">
        <f>0.85*D1</f>
        <v>13.228124999999999</v>
      </c>
      <c r="T33" s="15">
        <f>Q33*D31</f>
        <v>0</v>
      </c>
      <c r="U33" s="15">
        <f>MAX(R33*D31,-D5)</f>
        <v>-326.0869565217392</v>
      </c>
      <c r="V33" s="37">
        <f>(S33*D52*(MIN(D49,0.8*O33))-((D38*T33)+(D36*U33)))</f>
        <v>1267155.4076086953</v>
      </c>
      <c r="W33" s="37">
        <f>((S33*D52*(MIN(D49,0.8*O33))*((0.5*(D46+D40))-(MIN(D49/2,0.4*O33)))+(((D38*T33)-(D36*U33))*0.5*(D46-D43))))</f>
        <v>71230180.19021738</v>
      </c>
      <c r="X33" s="20">
        <f t="shared" si="0"/>
        <v>1267.1554076086954</v>
      </c>
      <c r="Y33" s="21">
        <f t="shared" si="1"/>
        <v>71.23018019021738</v>
      </c>
      <c r="Z33" s="103"/>
      <c r="AA33" s="103"/>
      <c r="AB33" s="102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72"/>
      <c r="AQ33" s="72"/>
      <c r="AR33" s="72"/>
      <c r="AS33" s="72"/>
    </row>
    <row r="34" spans="1:45" ht="12.75">
      <c r="A34" s="177"/>
      <c r="B34" s="139"/>
      <c r="C34" s="198"/>
      <c r="D34" s="182"/>
      <c r="E34" s="99"/>
      <c r="F34" s="99"/>
      <c r="G34" s="99"/>
      <c r="H34" s="99"/>
      <c r="I34" s="99"/>
      <c r="J34" s="99"/>
      <c r="K34" s="99"/>
      <c r="M34" s="120">
        <v>5</v>
      </c>
      <c r="N34" s="2">
        <v>1.05</v>
      </c>
      <c r="O34" s="31">
        <f>N34*D46</f>
        <v>330.75</v>
      </c>
      <c r="P34" s="47">
        <f>D13</f>
        <v>0.0035</v>
      </c>
      <c r="Q34" s="48">
        <f>P34*(D46-O34)/O34</f>
        <v>-0.00016666666666666666</v>
      </c>
      <c r="R34" s="48">
        <f>P34*(D43-O34)/O34</f>
        <v>-0.0031296296296296298</v>
      </c>
      <c r="S34" s="39">
        <f>0.85*D1</f>
        <v>13.228124999999999</v>
      </c>
      <c r="T34" s="39">
        <f>Q34*D31</f>
        <v>-34.333333333333336</v>
      </c>
      <c r="U34" s="39">
        <f>MAX(R34*D31,-D5)</f>
        <v>-326.0869565217392</v>
      </c>
      <c r="V34" s="45">
        <f>(S34*D52*(MIN(D49,0.8*O34))-((D38*T34)+(D36*U34)))</f>
        <v>1336066.105525362</v>
      </c>
      <c r="W34" s="45">
        <f>((S34*D52*(MIN(D49,0.8*O34))*((0.5*(D46+D40))-(MIN(D49/2,0.4*O34)))+(((D38*T34)-(D36*U34))*0.5*(D46-D43))))</f>
        <v>64890335.45375903</v>
      </c>
      <c r="X34" s="18">
        <f t="shared" si="0"/>
        <v>1336.066105525362</v>
      </c>
      <c r="Y34" s="19">
        <f t="shared" si="1"/>
        <v>64.89033545375904</v>
      </c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72"/>
      <c r="AQ34" s="72"/>
      <c r="AR34" s="72"/>
      <c r="AS34" s="72"/>
    </row>
    <row r="35" spans="1:45" ht="13.5" thickBot="1">
      <c r="A35" s="178"/>
      <c r="B35" s="140"/>
      <c r="C35" s="199"/>
      <c r="D35" s="183"/>
      <c r="E35" s="99"/>
      <c r="F35" s="99"/>
      <c r="G35" s="99"/>
      <c r="H35" s="99"/>
      <c r="I35" s="99"/>
      <c r="J35" s="99"/>
      <c r="K35" s="99"/>
      <c r="M35" s="120"/>
      <c r="N35" s="9">
        <v>1.1</v>
      </c>
      <c r="O35" s="39">
        <f>N35*D46</f>
        <v>346.5</v>
      </c>
      <c r="P35" s="47">
        <f>D13</f>
        <v>0.0035</v>
      </c>
      <c r="Q35" s="48">
        <f>P35*(D46-O35)/O35</f>
        <v>-0.0003181818181818182</v>
      </c>
      <c r="R35" s="48">
        <f>P35*(D43-O35)/O35</f>
        <v>-0.0031464646464646464</v>
      </c>
      <c r="S35" s="39">
        <f>0.85*D1</f>
        <v>13.228124999999999</v>
      </c>
      <c r="T35" s="39">
        <f>Q35*D31</f>
        <v>-65.54545454545455</v>
      </c>
      <c r="U35" s="39">
        <f>MAX(R35*D31,-D5)</f>
        <v>-326.0869565217392</v>
      </c>
      <c r="V35" s="45">
        <f>(S35*D52*(MIN(D49,0.8*O35))-((D38*T35)+(D36*U35)))</f>
        <v>1404015.4701086953</v>
      </c>
      <c r="W35" s="45">
        <f>((S35*D52*(MIN(D49,0.8*O35))*((0.5*(D46+D40))-(MIN(D49/2,0.4*O35)))+(((D38*T35)-(D36*U35))*0.5*(D46-D43))))</f>
        <v>57950043.390217386</v>
      </c>
      <c r="X35" s="52">
        <f t="shared" si="0"/>
        <v>1404.0154701086954</v>
      </c>
      <c r="Y35" s="60">
        <f t="shared" si="1"/>
        <v>57.95004339021739</v>
      </c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72"/>
      <c r="AQ35" s="72"/>
      <c r="AR35" s="72"/>
      <c r="AS35" s="72"/>
    </row>
    <row r="36" spans="1:45" ht="12.75">
      <c r="A36" s="176" t="s">
        <v>6</v>
      </c>
      <c r="B36" s="143" t="s">
        <v>31</v>
      </c>
      <c r="C36" s="143" t="s">
        <v>18</v>
      </c>
      <c r="D36" s="193">
        <v>308</v>
      </c>
      <c r="E36" s="99"/>
      <c r="F36" s="99"/>
      <c r="G36" s="99"/>
      <c r="H36" s="99"/>
      <c r="I36" s="99"/>
      <c r="J36" s="99"/>
      <c r="K36" s="99"/>
      <c r="M36" s="109"/>
      <c r="N36" s="14">
        <f>O36/D46</f>
        <v>1.1111111111111112</v>
      </c>
      <c r="O36" s="110">
        <f>D49</f>
        <v>350</v>
      </c>
      <c r="P36" s="81">
        <f>D16*O36/(O36-((3/7)*D49))</f>
        <v>0.0035000000000000005</v>
      </c>
      <c r="Q36" s="35">
        <f>-(D16-((D46-((3/7)*D49))*(P36-D16)/((3/7)*D49)))</f>
        <v>-0.0003499999999999994</v>
      </c>
      <c r="R36" s="35">
        <f>-(((P36-D16)*(((3/7)*D49)-D43)/((3/7)*D49))+D16)</f>
        <v>-0.00315</v>
      </c>
      <c r="S36" s="15">
        <f>0.85*D1</f>
        <v>13.228124999999999</v>
      </c>
      <c r="T36" s="15">
        <f>MAX(Q36*D31,-D8)</f>
        <v>-72.09999999999988</v>
      </c>
      <c r="U36" s="15">
        <f>MAX(R36*D31,-D5)</f>
        <v>-326.0869565217392</v>
      </c>
      <c r="V36" s="37">
        <f>(S36*D52*(MIN(D49,0.8*O36))-((D38*T36)+(D36*U36)))</f>
        <v>1418997.8326086954</v>
      </c>
      <c r="W36" s="37">
        <f>((S36*D52*(MIN(D49,0.8*O36))*((0.5*(D46+D40))-(MIN(D49/2,0.4*O36)))+(((D38*T36)-(D36*U36))*0.5*(D46-D43))))</f>
        <v>56324386.31521739</v>
      </c>
      <c r="X36" s="20">
        <f t="shared" si="0"/>
        <v>1418.9978326086953</v>
      </c>
      <c r="Y36" s="21">
        <f t="shared" si="1"/>
        <v>56.32438631521739</v>
      </c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72"/>
      <c r="AQ36" s="72"/>
      <c r="AR36" s="72"/>
      <c r="AS36" s="72"/>
    </row>
    <row r="37" spans="1:45" ht="12.75">
      <c r="A37" s="187"/>
      <c r="B37" s="158"/>
      <c r="C37" s="144"/>
      <c r="D37" s="191"/>
      <c r="E37" s="99"/>
      <c r="F37" s="99"/>
      <c r="G37" s="99"/>
      <c r="H37" s="99"/>
      <c r="I37" s="99"/>
      <c r="J37" s="99"/>
      <c r="K37" s="99"/>
      <c r="M37" s="120">
        <v>6</v>
      </c>
      <c r="N37" s="8">
        <v>1.2</v>
      </c>
      <c r="O37" s="71">
        <f>N37*D46</f>
        <v>378</v>
      </c>
      <c r="P37" s="34">
        <f>D16*O37/(O37-((3/7)*D49))</f>
        <v>0.0033157894736842108</v>
      </c>
      <c r="Q37" s="34">
        <f>-(D16-((D46-((3/7)*D49))*(P37-D16)/((3/7)*D49)))</f>
        <v>-0.0005526315789473682</v>
      </c>
      <c r="R37" s="34">
        <f>-(((P37-D16)*(((3/7)*D49)-D43)/((3/7)*D49))+D16)</f>
        <v>-0.0030087719298245615</v>
      </c>
      <c r="S37" s="39">
        <f>0.85*D1</f>
        <v>13.228124999999999</v>
      </c>
      <c r="T37" s="31">
        <f>MAX(Q37*D31,-D8)</f>
        <v>-113.84210526315785</v>
      </c>
      <c r="U37" s="39">
        <f>MAX(R37*D31,-D5)</f>
        <v>-326.0869565217392</v>
      </c>
      <c r="V37" s="45">
        <f>(S37*D52*(MIN(D49,0.8*O37))-((D38*T37)+(D36*U37)))</f>
        <v>1535562.9010297481</v>
      </c>
      <c r="W37" s="45">
        <f>((S37*D52*(MIN(D49,0.8*O37))*((0.5*(D46+D40))-(MIN(D49/2,0.4*O37)))+(((D38*T37)-(D36*U37))*0.5*(D46-D43))))</f>
        <v>42473539.03626999</v>
      </c>
      <c r="X37" s="18">
        <f t="shared" si="0"/>
        <v>1535.5629010297482</v>
      </c>
      <c r="Y37" s="19">
        <f t="shared" si="1"/>
        <v>42.47353903626999</v>
      </c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72"/>
      <c r="AQ37" s="72"/>
      <c r="AR37" s="72"/>
      <c r="AS37" s="72"/>
    </row>
    <row r="38" spans="1:45" ht="12.75">
      <c r="A38" s="187"/>
      <c r="B38" s="158"/>
      <c r="C38" s="158" t="s">
        <v>2</v>
      </c>
      <c r="D38" s="182">
        <v>308</v>
      </c>
      <c r="E38" s="99"/>
      <c r="F38" s="99"/>
      <c r="G38" s="99"/>
      <c r="H38" s="99"/>
      <c r="I38" s="99"/>
      <c r="J38" s="99"/>
      <c r="K38" s="99"/>
      <c r="M38" s="120"/>
      <c r="N38" s="8">
        <v>1.3</v>
      </c>
      <c r="O38" s="71">
        <f>N38*D46</f>
        <v>409.5</v>
      </c>
      <c r="P38" s="34">
        <f>D16*O38/(O38-((3/7)*D49))</f>
        <v>0.00315606936416185</v>
      </c>
      <c r="Q38" s="34">
        <f>-(D16-((D46-((3/7)*D49))*(P38-D16)/((3/7)*D49)))</f>
        <v>-0.0007283236994219651</v>
      </c>
      <c r="R38" s="34">
        <f>-(((P38-D16)*(((3/7)*D49)-D43)/((3/7)*D49))+D16)</f>
        <v>-0.0028863198458574184</v>
      </c>
      <c r="S38" s="39">
        <f>0.85*D1</f>
        <v>13.228124999999999</v>
      </c>
      <c r="T38" s="31">
        <f>MAX(Q38*D31,-D8)</f>
        <v>-150.03468208092482</v>
      </c>
      <c r="U38" s="39">
        <f>MAX(R38*D31,-D5)</f>
        <v>-326.0869565217392</v>
      </c>
      <c r="V38" s="45">
        <f>(S38*D52*(MIN(D49,0.8*O38))-((D38*T38)+(D36*U38)))</f>
        <v>1663382.2771896203</v>
      </c>
      <c r="W38" s="45">
        <f>((S38*D52*(MIN(D49,0.8*O38))*((0.5*(D46+D40))-(MIN(D49/2,0.4*O38)))+(((D38*T38)-(D36*U38))*0.5*(D46-D43))))</f>
        <v>24578826.373887893</v>
      </c>
      <c r="X38" s="18">
        <f t="shared" si="0"/>
        <v>1663.3822771896203</v>
      </c>
      <c r="Y38" s="19">
        <f t="shared" si="1"/>
        <v>24.578826373887892</v>
      </c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72"/>
      <c r="AQ38" s="72"/>
      <c r="AR38" s="72"/>
      <c r="AS38" s="72"/>
    </row>
    <row r="39" spans="1:45" ht="13.5" thickBot="1">
      <c r="A39" s="187"/>
      <c r="B39" s="194"/>
      <c r="C39" s="194"/>
      <c r="D39" s="163"/>
      <c r="E39" s="99"/>
      <c r="F39" s="99"/>
      <c r="G39" s="99"/>
      <c r="H39" s="99"/>
      <c r="I39" s="99"/>
      <c r="J39" s="99"/>
      <c r="K39" s="99"/>
      <c r="M39" s="120"/>
      <c r="N39" s="49">
        <f>O39/D46</f>
        <v>1.3888888888888888</v>
      </c>
      <c r="O39" s="111">
        <f>D49/0.8</f>
        <v>437.5</v>
      </c>
      <c r="P39" s="40">
        <f>D16*O39/(O39-((3/7)*D49))</f>
        <v>0.003043478260869565</v>
      </c>
      <c r="Q39" s="40">
        <f>-(D16-((D46-((3/7)*D49))*(P39-D16)/((3/7)*D49)))</f>
        <v>-0.0008521739130434784</v>
      </c>
      <c r="R39" s="40">
        <f>-(((P39-D16)*(((3/7)*D49)-D43)/((3/7)*D49))+D16)</f>
        <v>-0.0028</v>
      </c>
      <c r="S39" s="41">
        <f>0.85*D1</f>
        <v>13.228124999999999</v>
      </c>
      <c r="T39" s="41">
        <f>MAX(Q39*D31,-D8)</f>
        <v>-175.54782608695655</v>
      </c>
      <c r="U39" s="41">
        <f>MAX(R39*D31,-D5)</f>
        <v>-326.0869565217392</v>
      </c>
      <c r="V39" s="42">
        <f>(S39*D52*(MIN(D49,0.8*O39))-((D38*T39)+(D36*U39)))</f>
        <v>1774948.8255434781</v>
      </c>
      <c r="W39" s="42">
        <f>((S39*D52*(MIN(D49,0.8*O39))*((0.5*(D46+D40))-(MIN(D49/2,0.4*O39)))+(((D38*T39)-(D36*U39))*0.5*(D46-D43))))</f>
        <v>6491247.304347827</v>
      </c>
      <c r="X39" s="43">
        <f t="shared" si="0"/>
        <v>1774.948825543478</v>
      </c>
      <c r="Y39" s="44">
        <f t="shared" si="1"/>
        <v>6.491247304347827</v>
      </c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72"/>
      <c r="AQ39" s="72"/>
      <c r="AR39" s="72"/>
      <c r="AS39" s="72"/>
    </row>
    <row r="40" spans="1:45" ht="13.5" thickTop="1">
      <c r="A40" s="187"/>
      <c r="B40" s="153" t="s">
        <v>11</v>
      </c>
      <c r="C40" s="153" t="s">
        <v>32</v>
      </c>
      <c r="D40" s="192">
        <v>35</v>
      </c>
      <c r="E40" s="99"/>
      <c r="F40" s="99"/>
      <c r="G40" s="99"/>
      <c r="H40" s="99"/>
      <c r="I40" s="99"/>
      <c r="J40" s="99"/>
      <c r="K40" s="99"/>
      <c r="M40" s="120"/>
      <c r="N40" s="8">
        <v>1.5</v>
      </c>
      <c r="O40" s="71">
        <f>N40*D46</f>
        <v>472.5</v>
      </c>
      <c r="P40" s="34">
        <f>D16*O40/(O40-((3/7)*D49))</f>
        <v>0.002930232558139535</v>
      </c>
      <c r="Q40" s="34">
        <f>-(D16-((D46-((3/7)*D49))*(P40-D16)/((3/7)*D49)))</f>
        <v>-0.0009767441860465114</v>
      </c>
      <c r="R40" s="34">
        <f>-(((P40-D16)*(((3/7)*D49)-D43)/((3/7)*D49))+D16)</f>
        <v>-0.0027131782945736434</v>
      </c>
      <c r="S40" s="39">
        <f>0.85*D1</f>
        <v>13.228124999999999</v>
      </c>
      <c r="T40" s="31">
        <f>MAX(Q40*D31,-D8)</f>
        <v>-201.20930232558135</v>
      </c>
      <c r="U40" s="39">
        <f>MAX(R40*D31,-D5)</f>
        <v>-326.0869565217392</v>
      </c>
      <c r="V40" s="45">
        <f>(S40*D52*(MIN(D49,0.8*O40))-((D38*T40)+(D36*U40)))</f>
        <v>1782852.5602249745</v>
      </c>
      <c r="W40" s="45">
        <f>((S40*D52*(MIN(D49,0.8*O40))*((0.5*(D46+D40))-(MIN(D49/2,0.4*O40)))+(((D38*T40)-(D36*U40))*0.5*(D46-D43))))</f>
        <v>5384724.448938325</v>
      </c>
      <c r="X40" s="18">
        <f t="shared" si="0"/>
        <v>1782.8525602249745</v>
      </c>
      <c r="Y40" s="19">
        <f t="shared" si="1"/>
        <v>5.384724448938325</v>
      </c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72"/>
      <c r="AQ40" s="72"/>
      <c r="AR40" s="72"/>
      <c r="AS40" s="72"/>
    </row>
    <row r="41" spans="1:45" ht="12.75">
      <c r="A41" s="187"/>
      <c r="B41" s="154"/>
      <c r="C41" s="139"/>
      <c r="D41" s="182"/>
      <c r="E41" s="99"/>
      <c r="F41" s="99"/>
      <c r="G41" s="99"/>
      <c r="H41" s="99"/>
      <c r="I41" s="99"/>
      <c r="J41" s="99"/>
      <c r="K41" s="99"/>
      <c r="M41" s="120"/>
      <c r="N41" s="9">
        <v>2.5</v>
      </c>
      <c r="O41" s="71">
        <f>N41*D46</f>
        <v>787.5</v>
      </c>
      <c r="P41" s="34">
        <f>D16*O41/(O41-((3/7)*D49))</f>
        <v>0.0024705882352941176</v>
      </c>
      <c r="Q41" s="34">
        <f>-(D16-((D46-((3/7)*D49))*(P41-D16)/((3/7)*D49)))</f>
        <v>-0.0014823529411764707</v>
      </c>
      <c r="R41" s="7">
        <f>-(((P41-D16)*(((3/7)*D49)-D43)/((3/7)*D49))+D16)</f>
        <v>-0.0023607843137254904</v>
      </c>
      <c r="S41" s="39">
        <f>0.85*D1</f>
        <v>13.228124999999999</v>
      </c>
      <c r="T41" s="31">
        <f>MAX(Q41*D31,-D8)</f>
        <v>-305.36470588235295</v>
      </c>
      <c r="U41" s="39">
        <f>MAX(R41*D31,-D5)</f>
        <v>-326.0869565217392</v>
      </c>
      <c r="V41" s="45">
        <f>(S41*D52*(MIN(D49,0.8*O41))-((D38*T41)+(D36*U41)))</f>
        <v>1814932.4245204602</v>
      </c>
      <c r="W41" s="45">
        <f>((S41*D52*(MIN(D49,0.8*O41))*((0.5*(D46+D40))-(MIN(D49/2,0.4*O41)))+(((D38*T41)-(D36*U41))*0.5*(D46-D43))))</f>
        <v>893543.4475703345</v>
      </c>
      <c r="X41" s="18">
        <f t="shared" si="0"/>
        <v>1814.9324245204602</v>
      </c>
      <c r="Y41" s="19">
        <f t="shared" si="1"/>
        <v>0.8935434475703345</v>
      </c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72"/>
      <c r="AQ41" s="72"/>
      <c r="AR41" s="72"/>
      <c r="AS41" s="72"/>
    </row>
    <row r="42" spans="1:45" ht="12.75">
      <c r="A42" s="187"/>
      <c r="B42" s="154"/>
      <c r="C42" s="156"/>
      <c r="D42" s="191"/>
      <c r="E42" s="99"/>
      <c r="F42" s="99"/>
      <c r="G42" s="25"/>
      <c r="H42" s="25"/>
      <c r="I42" s="25"/>
      <c r="J42" s="99"/>
      <c r="K42" s="99"/>
      <c r="M42" s="120"/>
      <c r="N42" s="51">
        <f>O42/D46</f>
        <v>2.9881434355118555</v>
      </c>
      <c r="O42" s="71">
        <f>(P42*(3/7)*D49)/(P42-D16)</f>
        <v>941.2651821862345</v>
      </c>
      <c r="P42" s="34">
        <f>((-Q42*(3/7)*D49)-(D16*D46))/((3/7)*D49-D46)</f>
        <v>0.0023791396446525195</v>
      </c>
      <c r="Q42" s="53">
        <f>-D28</f>
        <v>-0.001582946390882229</v>
      </c>
      <c r="R42" s="34">
        <f>-(((P42-D16)*(((3/7)*D49)-D43)/((3/7)*D49))+D16)</f>
        <v>-0.0022906737275669316</v>
      </c>
      <c r="S42" s="39">
        <f>0.85*D1</f>
        <v>13.228124999999999</v>
      </c>
      <c r="T42" s="31">
        <f>MAX(Q42*D31,-D8)</f>
        <v>-326.0869565217392</v>
      </c>
      <c r="U42" s="39">
        <f>MAX(R42*D31,-D5)</f>
        <v>-326.0869565217392</v>
      </c>
      <c r="V42" s="45">
        <f>(S42*D52*(MIN(D49,0.8*O42))-((D38*T42)+(D36*U42)))</f>
        <v>1821314.8777173911</v>
      </c>
      <c r="W42" s="45">
        <f>((S42*D52*(MIN(D49,0.8*O42))*((0.5*(D46+D40))-(MIN(D49/2,0.4*O42)))+(((D38*T42)-(D36*U42))*0.5*(D46-D43))))</f>
        <v>0</v>
      </c>
      <c r="X42" s="18">
        <f t="shared" si="0"/>
        <v>1821.314877717391</v>
      </c>
      <c r="Y42" s="19">
        <f t="shared" si="1"/>
        <v>0</v>
      </c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72"/>
      <c r="AQ42" s="72"/>
      <c r="AR42" s="72"/>
      <c r="AS42" s="72"/>
    </row>
    <row r="43" spans="1:45" ht="12.75">
      <c r="A43" s="187"/>
      <c r="B43" s="154"/>
      <c r="C43" s="138" t="s">
        <v>4</v>
      </c>
      <c r="D43" s="162">
        <v>35</v>
      </c>
      <c r="E43" s="99"/>
      <c r="F43" s="99"/>
      <c r="G43" s="25"/>
      <c r="H43" s="25"/>
      <c r="I43" s="25"/>
      <c r="J43" s="99"/>
      <c r="K43" s="99"/>
      <c r="M43" s="120"/>
      <c r="N43" s="9">
        <v>3</v>
      </c>
      <c r="O43" s="71">
        <f>N43*D46</f>
        <v>945</v>
      </c>
      <c r="P43" s="34">
        <f>D16*O43/(O43-((3/7)*D49))</f>
        <v>0.002377358490566038</v>
      </c>
      <c r="Q43" s="34">
        <f>-(D16-((D46-((3/7)*D49))*(P43-D16)/((3/7)*D49)))</f>
        <v>-0.0015849056603773584</v>
      </c>
      <c r="R43" s="34">
        <f>-(((P43-D16)*((3/7)*D49-D43))/((3/7)*D49)+D16)</f>
        <v>-0.002289308176100629</v>
      </c>
      <c r="S43" s="39">
        <f>0.85*D1</f>
        <v>13.228124999999999</v>
      </c>
      <c r="T43" s="31">
        <f>MAX(Q43*D31,-D8)</f>
        <v>-326.0869565217392</v>
      </c>
      <c r="U43" s="39">
        <f>MAX(R43*D31,-D5)</f>
        <v>-326.0869565217392</v>
      </c>
      <c r="V43" s="45">
        <f>(S43*D52*(MIN(D49,0.8*O43))-((D38*T43)+(D36*U43)))</f>
        <v>1821314.8777173911</v>
      </c>
      <c r="W43" s="45">
        <f>((S43*D52*(MIN(D49,0.8*O43))*((0.5*(D46+D40))-(MIN(D49/2,0.4*O43)))+(((D38*T43)-(D36*U43))*0.5*(D46-D43))))</f>
        <v>0</v>
      </c>
      <c r="X43" s="18">
        <f>V43/1000</f>
        <v>1821.314877717391</v>
      </c>
      <c r="Y43" s="19">
        <f>W43/POWER(1000,2)</f>
        <v>0</v>
      </c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72"/>
      <c r="AQ43" s="72"/>
      <c r="AR43" s="72"/>
      <c r="AS43" s="72"/>
    </row>
    <row r="44" spans="1:45" ht="12.75">
      <c r="A44" s="187"/>
      <c r="B44" s="154"/>
      <c r="C44" s="154"/>
      <c r="D44" s="189"/>
      <c r="E44" s="25"/>
      <c r="F44" s="25"/>
      <c r="G44" s="99"/>
      <c r="H44" s="99"/>
      <c r="I44" s="99"/>
      <c r="J44" s="25"/>
      <c r="K44" s="25"/>
      <c r="M44" s="120"/>
      <c r="N44" s="9">
        <v>3.5</v>
      </c>
      <c r="O44" s="71">
        <f>N44*D46</f>
        <v>1102.5</v>
      </c>
      <c r="P44" s="34">
        <f>D16*O44/(O44-((3/7)*D49))</f>
        <v>0.0023149606299212597</v>
      </c>
      <c r="Q44" s="34">
        <f>-(D16-((D46-((3/7)*D49))*(P44-D16)/((3/7)*D49)))</f>
        <v>-0.0016535433070866143</v>
      </c>
      <c r="R44" s="34">
        <f>-(((P44-D16)*(((3/7)*D49)-D43)/((3/7)*D49))+D16)</f>
        <v>-0.0022414698162729657</v>
      </c>
      <c r="S44" s="39">
        <f>0.85*D1</f>
        <v>13.228124999999999</v>
      </c>
      <c r="T44" s="31">
        <f>MAX(Q44*D31,-D8)</f>
        <v>-326.0869565217392</v>
      </c>
      <c r="U44" s="39">
        <f>MAX(R44*D31,-D5)</f>
        <v>-326.0869565217392</v>
      </c>
      <c r="V44" s="45">
        <f>(S44*D52*(MIN(D49,0.8*O44))-((D38*T44)+(D36*U44)))</f>
        <v>1821314.8777173911</v>
      </c>
      <c r="W44" s="45">
        <f>((S44*D52*(MIN(D49,0.8*O44))*((0.5*(D46+D40))-(MIN(D49/2,0.4*O44)))+(((D38*T44)-(D36*U44))*0.5*(D46-D43))))</f>
        <v>0</v>
      </c>
      <c r="X44" s="18">
        <f t="shared" si="0"/>
        <v>1821.314877717391</v>
      </c>
      <c r="Y44" s="19">
        <f t="shared" si="1"/>
        <v>0</v>
      </c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72"/>
      <c r="AQ44" s="72"/>
      <c r="AR44" s="72"/>
      <c r="AS44" s="72"/>
    </row>
    <row r="45" spans="1:45" ht="13.5" thickBot="1">
      <c r="A45" s="187"/>
      <c r="B45" s="154"/>
      <c r="C45" s="157"/>
      <c r="D45" s="190"/>
      <c r="E45" s="25"/>
      <c r="F45" s="25"/>
      <c r="G45" s="99"/>
      <c r="H45" s="99"/>
      <c r="I45" s="99"/>
      <c r="J45" s="25"/>
      <c r="K45" s="25"/>
      <c r="M45" s="73"/>
      <c r="N45" s="74">
        <f>O45/D49</f>
        <v>2857.14</v>
      </c>
      <c r="O45" s="75">
        <v>999999</v>
      </c>
      <c r="P45" s="117">
        <f>D16*O45/(O45-((3/7)*D49))</f>
        <v>0.002000300045306841</v>
      </c>
      <c r="Q45" s="115">
        <f>-P45</f>
        <v>-0.002000300045306841</v>
      </c>
      <c r="R45" s="116">
        <f>Q45</f>
        <v>-0.002000300045306841</v>
      </c>
      <c r="S45" s="77">
        <f>0.85*D1</f>
        <v>13.228124999999999</v>
      </c>
      <c r="T45" s="77">
        <f>MAX(Q45*D31,-D8)</f>
        <v>-326.0869565217392</v>
      </c>
      <c r="U45" s="77">
        <f>MAX(R45*D31,-D8)</f>
        <v>-326.0869565217392</v>
      </c>
      <c r="V45" s="78">
        <f>(S45*D52*(MIN(D49,0.8*O45))-((D38*T45)+(D36*U45)))</f>
        <v>1821314.8777173911</v>
      </c>
      <c r="W45" s="78">
        <f>((S45*D52*(MIN(D49,0.8*O45))*((0.5*(D46+D40))-(MIN(D49/2,0.4*O45)))+(((D38*T45)-(D36*U45))*0.5*(D46-D43))))</f>
        <v>0</v>
      </c>
      <c r="X45" s="79">
        <f t="shared" si="0"/>
        <v>1821.314877717391</v>
      </c>
      <c r="Y45" s="80">
        <f t="shared" si="1"/>
        <v>0</v>
      </c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72"/>
      <c r="AQ45" s="72"/>
      <c r="AR45" s="72"/>
      <c r="AS45" s="72"/>
    </row>
    <row r="46" spans="1:45" ht="12.75">
      <c r="A46" s="187"/>
      <c r="B46" s="154"/>
      <c r="C46" s="158" t="s">
        <v>3</v>
      </c>
      <c r="D46" s="182">
        <f>D49-D40</f>
        <v>315</v>
      </c>
      <c r="E46" s="99"/>
      <c r="F46" s="99"/>
      <c r="G46" s="99"/>
      <c r="H46" s="99"/>
      <c r="I46" s="99"/>
      <c r="J46" s="99"/>
      <c r="K46" s="99"/>
      <c r="M46" s="22"/>
      <c r="Y46" s="9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72"/>
      <c r="AQ46" s="72"/>
      <c r="AR46" s="72"/>
      <c r="AS46" s="72"/>
    </row>
    <row r="47" spans="1:45" ht="12.75">
      <c r="A47" s="187"/>
      <c r="B47" s="154"/>
      <c r="C47" s="158"/>
      <c r="D47" s="182"/>
      <c r="E47" s="99"/>
      <c r="F47" s="99"/>
      <c r="G47" s="99"/>
      <c r="H47" s="99"/>
      <c r="I47" s="99"/>
      <c r="J47" s="99"/>
      <c r="K47" s="99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9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72"/>
      <c r="AQ47" s="72"/>
      <c r="AR47" s="72"/>
      <c r="AS47" s="72"/>
    </row>
    <row r="48" spans="1:45" ht="13.5" thickBot="1">
      <c r="A48" s="187"/>
      <c r="B48" s="154"/>
      <c r="C48" s="158"/>
      <c r="D48" s="182"/>
      <c r="E48" s="99"/>
      <c r="F48" s="99"/>
      <c r="G48" s="99"/>
      <c r="H48" s="99"/>
      <c r="I48" s="99"/>
      <c r="J48" s="99"/>
      <c r="K48" s="99"/>
      <c r="M48" s="119" t="s">
        <v>44</v>
      </c>
      <c r="N48" s="119"/>
      <c r="O48" s="119"/>
      <c r="P48" s="119"/>
      <c r="Q48" s="119"/>
      <c r="R48" s="119"/>
      <c r="S48" s="25"/>
      <c r="T48" s="25"/>
      <c r="U48" s="25"/>
      <c r="V48" s="25"/>
      <c r="W48" s="25"/>
      <c r="X48" s="64"/>
      <c r="Y48" s="9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72"/>
      <c r="AQ48" s="72"/>
      <c r="AR48" s="72"/>
      <c r="AS48" s="72"/>
    </row>
    <row r="49" spans="1:45" ht="12.75">
      <c r="A49" s="187"/>
      <c r="B49" s="154"/>
      <c r="C49" s="159" t="s">
        <v>1</v>
      </c>
      <c r="D49" s="162">
        <v>350</v>
      </c>
      <c r="E49" s="99"/>
      <c r="F49" s="99"/>
      <c r="G49" s="99"/>
      <c r="H49" s="99"/>
      <c r="I49" s="99"/>
      <c r="J49" s="99"/>
      <c r="K49" s="99"/>
      <c r="M49" s="22"/>
      <c r="N49" s="69"/>
      <c r="O49" s="69"/>
      <c r="P49" s="25"/>
      <c r="Q49" s="25"/>
      <c r="R49" s="25"/>
      <c r="S49" s="135">
        <v>1</v>
      </c>
      <c r="T49" s="131" t="s">
        <v>42</v>
      </c>
      <c r="U49" s="132"/>
      <c r="V49" s="105">
        <f>(0.85*(0.83*D3)/(1.25*1.6))*D52*D49-(-D8*D38)-(-D5*D36)</f>
        <v>1497225.8152173911</v>
      </c>
      <c r="W49" s="76">
        <v>0</v>
      </c>
      <c r="X49" s="90">
        <f>V49/1000</f>
        <v>1497.225815217391</v>
      </c>
      <c r="Y49" s="93">
        <f t="shared" si="1"/>
        <v>0</v>
      </c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72"/>
      <c r="AQ49" s="72"/>
      <c r="AR49" s="72"/>
      <c r="AS49" s="72"/>
    </row>
    <row r="50" spans="1:45" ht="15.75">
      <c r="A50" s="187"/>
      <c r="B50" s="154"/>
      <c r="C50" s="158"/>
      <c r="D50" s="182"/>
      <c r="E50" s="99"/>
      <c r="F50" s="99"/>
      <c r="G50" s="99"/>
      <c r="H50" s="99"/>
      <c r="I50" s="99"/>
      <c r="J50" s="99"/>
      <c r="K50" s="99"/>
      <c r="M50" s="2"/>
      <c r="N50" s="2"/>
      <c r="O50" s="2"/>
      <c r="P50" s="25"/>
      <c r="Q50" s="25"/>
      <c r="R50" s="25"/>
      <c r="S50" s="136"/>
      <c r="T50" s="133" t="s">
        <v>43</v>
      </c>
      <c r="U50" s="134"/>
      <c r="V50" s="106">
        <f>V49</f>
        <v>1497225.8152173911</v>
      </c>
      <c r="W50" s="70">
        <v>90000000</v>
      </c>
      <c r="X50" s="91">
        <f>V50/1000</f>
        <v>1497.225815217391</v>
      </c>
      <c r="Y50" s="94">
        <f t="shared" si="1"/>
        <v>90</v>
      </c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72"/>
      <c r="AQ50" s="72"/>
      <c r="AR50" s="72"/>
      <c r="AS50" s="72"/>
    </row>
    <row r="51" spans="1:45" ht="12.75">
      <c r="A51" s="187"/>
      <c r="B51" s="154"/>
      <c r="C51" s="144"/>
      <c r="D51" s="191"/>
      <c r="E51" s="99"/>
      <c r="F51" s="99"/>
      <c r="G51" s="99"/>
      <c r="H51" s="99"/>
      <c r="I51" s="99"/>
      <c r="J51" s="99"/>
      <c r="K51" s="99"/>
      <c r="M51" s="2"/>
      <c r="N51" s="2"/>
      <c r="O51" s="2"/>
      <c r="P51" s="25"/>
      <c r="Q51" s="25"/>
      <c r="R51" s="25"/>
      <c r="S51" s="137">
        <v>2</v>
      </c>
      <c r="T51" s="127" t="s">
        <v>41</v>
      </c>
      <c r="U51" s="129">
        <f>MAX(D49/30,20)</f>
        <v>20</v>
      </c>
      <c r="V51" s="89">
        <v>0</v>
      </c>
      <c r="W51" s="89">
        <f>V51*U51</f>
        <v>0</v>
      </c>
      <c r="X51" s="92">
        <f>V51/1000</f>
        <v>0</v>
      </c>
      <c r="Y51" s="95">
        <f t="shared" si="1"/>
        <v>0</v>
      </c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72"/>
      <c r="AQ51" s="72"/>
      <c r="AR51" s="72"/>
      <c r="AS51" s="72"/>
    </row>
    <row r="52" spans="1:45" ht="12.75">
      <c r="A52" s="187"/>
      <c r="B52" s="154"/>
      <c r="C52" s="158" t="s">
        <v>0</v>
      </c>
      <c r="D52" s="182">
        <v>350</v>
      </c>
      <c r="E52" s="99"/>
      <c r="F52" s="99"/>
      <c r="G52" s="99"/>
      <c r="H52" s="99"/>
      <c r="I52" s="99"/>
      <c r="J52" s="99"/>
      <c r="K52" s="99"/>
      <c r="M52" s="25"/>
      <c r="N52" s="25"/>
      <c r="O52" s="25"/>
      <c r="P52" s="25"/>
      <c r="Q52" s="25"/>
      <c r="R52" s="25"/>
      <c r="S52" s="136"/>
      <c r="T52" s="128"/>
      <c r="U52" s="130"/>
      <c r="V52" s="70">
        <v>1900000</v>
      </c>
      <c r="W52" s="70">
        <f>V52*U51</f>
        <v>38000000</v>
      </c>
      <c r="X52" s="91">
        <f>V52/1000</f>
        <v>1900</v>
      </c>
      <c r="Y52" s="94">
        <f t="shared" si="1"/>
        <v>38</v>
      </c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72"/>
      <c r="AQ52" s="72"/>
      <c r="AR52" s="72"/>
      <c r="AS52" s="72"/>
    </row>
    <row r="53" spans="1:45" ht="15.75">
      <c r="A53" s="187"/>
      <c r="B53" s="154"/>
      <c r="C53" s="158"/>
      <c r="D53" s="182"/>
      <c r="E53" s="99"/>
      <c r="F53" s="99"/>
      <c r="J53" s="99"/>
      <c r="K53" s="99"/>
      <c r="M53" s="25"/>
      <c r="N53" s="25"/>
      <c r="O53" s="25"/>
      <c r="P53" s="25"/>
      <c r="Q53" s="25"/>
      <c r="R53" s="25"/>
      <c r="S53" s="88">
        <v>3</v>
      </c>
      <c r="T53" s="121" t="s">
        <v>45</v>
      </c>
      <c r="U53" s="122"/>
      <c r="V53" s="122"/>
      <c r="W53" s="122"/>
      <c r="X53" s="122"/>
      <c r="Y53" s="12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72"/>
      <c r="AQ53" s="72"/>
      <c r="AR53" s="72"/>
      <c r="AS53" s="72"/>
    </row>
    <row r="54" spans="1:45" ht="13.5" thickBot="1">
      <c r="A54" s="188"/>
      <c r="B54" s="155"/>
      <c r="C54" s="195"/>
      <c r="D54" s="183"/>
      <c r="E54" s="99"/>
      <c r="F54" s="99"/>
      <c r="J54" s="99"/>
      <c r="K54" s="99"/>
      <c r="M54" s="25"/>
      <c r="N54" s="25"/>
      <c r="O54" s="25"/>
      <c r="P54" s="25"/>
      <c r="Q54" s="25"/>
      <c r="R54" s="25"/>
      <c r="S54" s="87">
        <v>4</v>
      </c>
      <c r="T54" s="124" t="s">
        <v>46</v>
      </c>
      <c r="U54" s="125"/>
      <c r="V54" s="125"/>
      <c r="W54" s="125"/>
      <c r="X54" s="125"/>
      <c r="Y54" s="126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72"/>
      <c r="AQ54" s="72"/>
      <c r="AR54" s="72"/>
      <c r="AS54" s="72"/>
    </row>
    <row r="55" spans="13:41" ht="12.75"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</row>
    <row r="56" spans="7:41" ht="12.75">
      <c r="G56" s="104"/>
      <c r="H56" s="104"/>
      <c r="I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</row>
    <row r="57" spans="7:41" ht="12.75">
      <c r="G57" s="104"/>
      <c r="H57" s="104"/>
      <c r="I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</row>
    <row r="58" spans="1:41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</row>
    <row r="59" spans="1:41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</row>
    <row r="60" spans="1:41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</row>
    <row r="61" spans="1:41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</row>
    <row r="62" spans="1:41" ht="12.7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</row>
    <row r="63" spans="1:41" ht="12.7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</row>
    <row r="64" spans="1:41" ht="12.7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</row>
    <row r="65" spans="1:41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</row>
    <row r="66" spans="1:41" ht="12.7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</row>
    <row r="67" spans="1:41" ht="12.7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</row>
    <row r="68" spans="1:41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</row>
    <row r="69" spans="1:41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</row>
    <row r="70" spans="1:41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</row>
    <row r="71" spans="1:41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</row>
    <row r="72" spans="1:41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</row>
    <row r="73" spans="1:41" ht="12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</row>
    <row r="74" spans="1:41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</row>
    <row r="75" spans="1:41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</row>
    <row r="76" spans="1:41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</row>
    <row r="77" spans="1:41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</row>
    <row r="78" spans="1:41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</row>
    <row r="79" spans="1:41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</row>
    <row r="80" spans="1:41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</row>
    <row r="81" spans="1:41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</row>
    <row r="82" spans="1:41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</row>
    <row r="83" spans="1:41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</row>
    <row r="84" spans="1:41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</row>
    <row r="85" spans="1:41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</row>
    <row r="86" spans="1:41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</row>
    <row r="87" spans="1:41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</row>
    <row r="88" spans="1:41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</row>
    <row r="89" spans="1:41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</row>
    <row r="90" spans="1:41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</row>
    <row r="91" spans="1:41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</row>
    <row r="92" spans="1:41" ht="12.75">
      <c r="A92" s="104"/>
      <c r="B92" s="104"/>
      <c r="C92" s="104"/>
      <c r="D92" s="104"/>
      <c r="E92" s="104"/>
      <c r="F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</row>
    <row r="93" spans="1:41" ht="12.75">
      <c r="A93" s="104"/>
      <c r="B93" s="104"/>
      <c r="C93" s="104"/>
      <c r="D93" s="104"/>
      <c r="E93" s="104"/>
      <c r="F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</row>
  </sheetData>
  <mergeCells count="62">
    <mergeCell ref="M34:M35"/>
    <mergeCell ref="M37:M44"/>
    <mergeCell ref="M9:M12"/>
    <mergeCell ref="C11:C12"/>
    <mergeCell ref="D11:D12"/>
    <mergeCell ref="C28:C30"/>
    <mergeCell ref="D28:D30"/>
    <mergeCell ref="C38:C39"/>
    <mergeCell ref="D38:D39"/>
    <mergeCell ref="B13:B30"/>
    <mergeCell ref="C13:C15"/>
    <mergeCell ref="D13:D15"/>
    <mergeCell ref="M14:M16"/>
    <mergeCell ref="M18:M25"/>
    <mergeCell ref="C22:C24"/>
    <mergeCell ref="D22:D24"/>
    <mergeCell ref="C25:C27"/>
    <mergeCell ref="D25:D27"/>
    <mergeCell ref="M27:M32"/>
    <mergeCell ref="A1:A35"/>
    <mergeCell ref="B1:B12"/>
    <mergeCell ref="C1:C2"/>
    <mergeCell ref="D1:D2"/>
    <mergeCell ref="C8:C10"/>
    <mergeCell ref="D8:D10"/>
    <mergeCell ref="C16:C18"/>
    <mergeCell ref="D16:D18"/>
    <mergeCell ref="C19:C21"/>
    <mergeCell ref="D19:D21"/>
    <mergeCell ref="G1:I1"/>
    <mergeCell ref="C3:C4"/>
    <mergeCell ref="D3:D4"/>
    <mergeCell ref="M3:M7"/>
    <mergeCell ref="C5:C7"/>
    <mergeCell ref="D5:D7"/>
    <mergeCell ref="B31:B35"/>
    <mergeCell ref="C31:C35"/>
    <mergeCell ref="D31:D35"/>
    <mergeCell ref="A36:A54"/>
    <mergeCell ref="B36:B39"/>
    <mergeCell ref="C36:C37"/>
    <mergeCell ref="D36:D37"/>
    <mergeCell ref="C52:C54"/>
    <mergeCell ref="D52:D54"/>
    <mergeCell ref="B40:B54"/>
    <mergeCell ref="C49:C51"/>
    <mergeCell ref="D49:D51"/>
    <mergeCell ref="C40:C42"/>
    <mergeCell ref="D40:D42"/>
    <mergeCell ref="C43:C45"/>
    <mergeCell ref="D43:D45"/>
    <mergeCell ref="C46:C48"/>
    <mergeCell ref="D46:D48"/>
    <mergeCell ref="S51:S52"/>
    <mergeCell ref="T51:T52"/>
    <mergeCell ref="U51:U52"/>
    <mergeCell ref="M48:R48"/>
    <mergeCell ref="S49:S50"/>
    <mergeCell ref="T53:Y53"/>
    <mergeCell ref="T54:Y54"/>
    <mergeCell ref="T49:U49"/>
    <mergeCell ref="T50:U50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5"/>
  <sheetViews>
    <sheetView zoomScale="75" zoomScaleNormal="75" workbookViewId="0" topLeftCell="A3">
      <selection activeCell="E2" sqref="E2"/>
    </sheetView>
  </sheetViews>
  <sheetFormatPr defaultColWidth="9.140625" defaultRowHeight="12.75"/>
  <cols>
    <col min="1" max="1" width="5.28125" style="0" bestFit="1" customWidth="1"/>
    <col min="2" max="2" width="4.28125" style="0" bestFit="1" customWidth="1"/>
    <col min="3" max="3" width="5.28125" style="0" bestFit="1" customWidth="1"/>
    <col min="4" max="4" width="4.28125" style="0" bestFit="1" customWidth="1"/>
    <col min="5" max="6" width="10.7109375" style="0" customWidth="1"/>
    <col min="7" max="9" width="12.7109375" style="0" customWidth="1"/>
    <col min="10" max="11" width="10.7109375" style="0" customWidth="1"/>
    <col min="12" max="12" width="1.7109375" style="0" customWidth="1"/>
    <col min="13" max="13" width="3.140625" style="0" bestFit="1" customWidth="1"/>
    <col min="14" max="14" width="8.140625" style="0" bestFit="1" customWidth="1"/>
    <col min="15" max="16" width="7.57421875" style="0" bestFit="1" customWidth="1"/>
    <col min="17" max="18" width="8.140625" style="0" bestFit="1" customWidth="1"/>
    <col min="19" max="19" width="5.57421875" style="0" bestFit="1" customWidth="1"/>
    <col min="20" max="21" width="7.140625" style="0" bestFit="1" customWidth="1"/>
    <col min="22" max="22" width="8.00390625" style="0" bestFit="1" customWidth="1"/>
    <col min="23" max="23" width="10.00390625" style="0" bestFit="1" customWidth="1"/>
    <col min="24" max="24" width="7.57421875" style="0" bestFit="1" customWidth="1"/>
    <col min="25" max="25" width="6.57421875" style="0" bestFit="1" customWidth="1"/>
  </cols>
  <sheetData>
    <row r="1" spans="1:44" ht="20.25" thickBot="1">
      <c r="A1" s="176" t="s">
        <v>7</v>
      </c>
      <c r="B1" s="141" t="s">
        <v>16</v>
      </c>
      <c r="C1" s="184" t="s">
        <v>19</v>
      </c>
      <c r="D1" s="148">
        <f>0.83*D3/1.6</f>
        <v>15.562499999999998</v>
      </c>
      <c r="E1" s="96"/>
      <c r="F1" s="96"/>
      <c r="G1" s="145" t="s">
        <v>15</v>
      </c>
      <c r="H1" s="146"/>
      <c r="I1" s="147"/>
      <c r="J1" s="2"/>
      <c r="K1" s="96"/>
      <c r="M1" s="26"/>
      <c r="N1" s="27" t="s">
        <v>10</v>
      </c>
      <c r="O1" s="28" t="s">
        <v>5</v>
      </c>
      <c r="P1" s="56" t="s">
        <v>33</v>
      </c>
      <c r="Q1" s="56" t="s">
        <v>40</v>
      </c>
      <c r="R1" s="56" t="s">
        <v>39</v>
      </c>
      <c r="S1" s="56" t="s">
        <v>36</v>
      </c>
      <c r="T1" s="56" t="s">
        <v>37</v>
      </c>
      <c r="U1" s="56" t="s">
        <v>38</v>
      </c>
      <c r="V1" s="55" t="s">
        <v>34</v>
      </c>
      <c r="W1" s="28" t="s">
        <v>35</v>
      </c>
      <c r="X1" s="29" t="s">
        <v>34</v>
      </c>
      <c r="Y1" s="30" t="s">
        <v>35</v>
      </c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</row>
    <row r="2" spans="1:44" ht="17.25" thickTop="1">
      <c r="A2" s="177"/>
      <c r="B2" s="139"/>
      <c r="C2" s="185"/>
      <c r="D2" s="149"/>
      <c r="E2" s="96"/>
      <c r="F2" s="96"/>
      <c r="G2" s="101"/>
      <c r="H2" s="6" t="s">
        <v>8</v>
      </c>
      <c r="I2" s="66" t="s">
        <v>9</v>
      </c>
      <c r="J2" s="2"/>
      <c r="K2" s="96"/>
      <c r="M2" s="82"/>
      <c r="N2" s="86">
        <f>O2/D46</f>
        <v>-2747.25</v>
      </c>
      <c r="O2" s="83">
        <v>-999999</v>
      </c>
      <c r="P2" s="58">
        <v>0</v>
      </c>
      <c r="Q2" s="84">
        <v>0.01</v>
      </c>
      <c r="R2" s="85">
        <v>0.01</v>
      </c>
      <c r="S2" s="58">
        <v>0</v>
      </c>
      <c r="T2" s="58">
        <f>D8</f>
        <v>326.0869565217392</v>
      </c>
      <c r="U2" s="58">
        <f>MIN(R2*D31,D5)</f>
        <v>326.0869565217392</v>
      </c>
      <c r="V2" s="37">
        <f>(S2*D52*0.8*O2)-((D38*T2)+(D36*U2))</f>
        <v>-262173.91304347833</v>
      </c>
      <c r="W2" s="13">
        <f>((S2*D52*0.8*O2)*((0.5*(D46+D40))-(0.4*O2)))+(((D38*T2)-(D36*U2))*0.5*(D46-D43))</f>
        <v>0</v>
      </c>
      <c r="X2" s="20">
        <f>V2/1000</f>
        <v>-262.1739130434783</v>
      </c>
      <c r="Y2" s="21">
        <f>W2/POWER(1000,2)</f>
        <v>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</row>
    <row r="3" spans="1:44" ht="15.75">
      <c r="A3" s="177"/>
      <c r="B3" s="139"/>
      <c r="C3" s="167" t="s">
        <v>20</v>
      </c>
      <c r="D3" s="160">
        <v>30</v>
      </c>
      <c r="E3" s="97"/>
      <c r="F3" s="97"/>
      <c r="G3" s="23" t="s">
        <v>55</v>
      </c>
      <c r="H3" s="7">
        <v>1320.98</v>
      </c>
      <c r="I3" s="65">
        <v>20.28</v>
      </c>
      <c r="J3" s="2"/>
      <c r="K3" s="97"/>
      <c r="M3" s="120">
        <v>1</v>
      </c>
      <c r="N3" s="8">
        <v>-1</v>
      </c>
      <c r="O3" s="31">
        <f>N3*D46</f>
        <v>-364</v>
      </c>
      <c r="P3" s="31">
        <v>0</v>
      </c>
      <c r="Q3" s="31">
        <f>D25</f>
        <v>0.01</v>
      </c>
      <c r="R3" s="33">
        <f>Q3*(D43-O3)/(D46-O3)</f>
        <v>0.005494505494505495</v>
      </c>
      <c r="S3" s="32">
        <v>0</v>
      </c>
      <c r="T3" s="32">
        <f>D8</f>
        <v>326.0869565217392</v>
      </c>
      <c r="U3" s="32">
        <f>MIN(R3*D31,D5)</f>
        <v>326.0869565217392</v>
      </c>
      <c r="V3" s="36">
        <f>(S3*D52*0.8*O3)-((D38*T3)+(D36*U3))</f>
        <v>-262173.91304347833</v>
      </c>
      <c r="W3" s="7">
        <f>((S3*D52*0.8*O3)*((0.5*(D46+D40))-(0.4*O3)))+(((D38*T3)-(D36*U3))*0.5*(D46-D43))</f>
        <v>0</v>
      </c>
      <c r="X3" s="18">
        <f>V3/1000</f>
        <v>-262.1739130434783</v>
      </c>
      <c r="Y3" s="19">
        <f>W3/POWER(1000,2)</f>
        <v>0</v>
      </c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</row>
    <row r="4" spans="1:44" ht="16.5" thickBot="1">
      <c r="A4" s="177"/>
      <c r="B4" s="139"/>
      <c r="C4" s="168"/>
      <c r="D4" s="161"/>
      <c r="E4" s="97"/>
      <c r="F4" s="97"/>
      <c r="G4" s="24" t="s">
        <v>56</v>
      </c>
      <c r="H4" s="4">
        <v>1343.38</v>
      </c>
      <c r="I4" s="67">
        <v>20.52</v>
      </c>
      <c r="J4" s="2"/>
      <c r="K4" s="97"/>
      <c r="M4" s="120"/>
      <c r="N4" s="9">
        <v>-0.5</v>
      </c>
      <c r="O4" s="31">
        <f>N4*D46</f>
        <v>-182</v>
      </c>
      <c r="P4" s="31">
        <v>0</v>
      </c>
      <c r="Q4" s="31">
        <f>D25</f>
        <v>0.01</v>
      </c>
      <c r="R4" s="33">
        <f>Q4*(D43-O4)/(D46-O4)</f>
        <v>0.003992673992673993</v>
      </c>
      <c r="S4" s="32">
        <v>0</v>
      </c>
      <c r="T4" s="32">
        <f>D8</f>
        <v>326.0869565217392</v>
      </c>
      <c r="U4" s="32">
        <f>MIN(R4*D31,D5)</f>
        <v>326.0869565217392</v>
      </c>
      <c r="V4" s="36">
        <f>(S4*D52*0.8*O4)-((D38*T4)+(D36*U4))</f>
        <v>-262173.91304347833</v>
      </c>
      <c r="W4" s="7">
        <f>((S4*D52*0.8*O4)*((0.5*(D46+D40))-(0.4*O4)))+(((D38*T4)-(D36*U4))*0.5*(D46-D43))</f>
        <v>0</v>
      </c>
      <c r="X4" s="18">
        <f aca="true" t="shared" si="0" ref="X4:X45">V4/1000</f>
        <v>-262.1739130434783</v>
      </c>
      <c r="Y4" s="19">
        <f aca="true" t="shared" si="1" ref="Y4:Y52">W4/POWER(1000,2)</f>
        <v>0</v>
      </c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</row>
    <row r="5" spans="1:44" ht="13.5" thickTop="1">
      <c r="A5" s="177"/>
      <c r="B5" s="139"/>
      <c r="C5" s="169" t="s">
        <v>21</v>
      </c>
      <c r="D5" s="186">
        <f>D11/1.15</f>
        <v>326.0869565217392</v>
      </c>
      <c r="E5" s="98"/>
      <c r="F5" s="98"/>
      <c r="G5" s="23"/>
      <c r="H5" s="7"/>
      <c r="I5" s="65"/>
      <c r="J5" s="2"/>
      <c r="K5" s="98"/>
      <c r="M5" s="120"/>
      <c r="N5" s="8">
        <v>-0.25</v>
      </c>
      <c r="O5" s="31">
        <f>N5*D46</f>
        <v>-91</v>
      </c>
      <c r="P5" s="31">
        <v>0</v>
      </c>
      <c r="Q5" s="31">
        <f>D25</f>
        <v>0.01</v>
      </c>
      <c r="R5" s="33">
        <f>Q5*(D43-O5)/(D46-O5)</f>
        <v>0.002791208791208791</v>
      </c>
      <c r="S5" s="31">
        <v>0</v>
      </c>
      <c r="T5" s="31">
        <f>D8</f>
        <v>326.0869565217392</v>
      </c>
      <c r="U5" s="32">
        <f>MIN(R5*D31,D5)</f>
        <v>326.0869565217392</v>
      </c>
      <c r="V5" s="36">
        <f>(S5*D52*0.8*O5)-((D38*T5)+(D36*U5))</f>
        <v>-262173.91304347833</v>
      </c>
      <c r="W5" s="7">
        <f>((S5*D52*0.8*O5)*((0.5*(D46+D40))-(0.4*O5)))+(((D38*T5)-(D36*U5))*0.5*(D46-D43))</f>
        <v>0</v>
      </c>
      <c r="X5" s="18">
        <f t="shared" si="0"/>
        <v>-262.1739130434783</v>
      </c>
      <c r="Y5" s="19">
        <f t="shared" si="1"/>
        <v>0</v>
      </c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</row>
    <row r="6" spans="1:44" ht="13.5" thickBot="1">
      <c r="A6" s="177"/>
      <c r="B6" s="139"/>
      <c r="C6" s="170"/>
      <c r="D6" s="151"/>
      <c r="E6" s="98"/>
      <c r="F6" s="98"/>
      <c r="G6" s="112"/>
      <c r="H6" s="113"/>
      <c r="I6" s="114"/>
      <c r="J6" s="2"/>
      <c r="K6" s="98"/>
      <c r="M6" s="120"/>
      <c r="N6" s="9">
        <v>-0.1</v>
      </c>
      <c r="O6" s="39">
        <f>N6*D46</f>
        <v>-36.4</v>
      </c>
      <c r="P6" s="39">
        <v>0</v>
      </c>
      <c r="Q6" s="39">
        <f>D25</f>
        <v>0.01</v>
      </c>
      <c r="R6" s="33">
        <f>Q6*(D43-O6)/(D46-O6)</f>
        <v>0.0018081918081918084</v>
      </c>
      <c r="S6" s="39">
        <v>0</v>
      </c>
      <c r="T6" s="39">
        <f>D8</f>
        <v>326.0869565217392</v>
      </c>
      <c r="U6" s="32">
        <f>MIN(R6*D31,D5)</f>
        <v>326.0869565217392</v>
      </c>
      <c r="V6" s="36">
        <f>(S6*D52*0.8*O6)-((D38*T6)+(D36*U6))</f>
        <v>-262173.91304347833</v>
      </c>
      <c r="W6" s="7">
        <f>((S6*D52*0.8*O6)*((0.5*(D46+D40))-(0.4*O6)))+(((D38*T6)-(D36*U6))*0.5*(D46-D43))</f>
        <v>0</v>
      </c>
      <c r="X6" s="18">
        <f>V6/1000</f>
        <v>-262.1739130434783</v>
      </c>
      <c r="Y6" s="19">
        <f>W6/POWER(1000,2)</f>
        <v>0</v>
      </c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</row>
    <row r="7" spans="1:44" ht="12.75">
      <c r="A7" s="177"/>
      <c r="B7" s="139"/>
      <c r="C7" s="171"/>
      <c r="D7" s="152"/>
      <c r="E7" s="98"/>
      <c r="F7" s="98"/>
      <c r="G7" s="98"/>
      <c r="H7" s="98"/>
      <c r="I7" s="98"/>
      <c r="J7" s="2"/>
      <c r="K7" s="98"/>
      <c r="L7" s="1"/>
      <c r="M7" s="120"/>
      <c r="N7" s="51">
        <f>O7/D46</f>
        <v>-0.0705633383667486</v>
      </c>
      <c r="O7" s="39">
        <f>-((R7*D46)-(Q7*D43))/(Q7-R7)</f>
        <v>-25.685055165496493</v>
      </c>
      <c r="P7" s="31">
        <v>0</v>
      </c>
      <c r="Q7" s="31">
        <f>D25</f>
        <v>0.01</v>
      </c>
      <c r="R7" s="59">
        <f>D22</f>
        <v>0.001582946390882229</v>
      </c>
      <c r="S7" s="31">
        <v>0</v>
      </c>
      <c r="T7" s="31">
        <f>D8</f>
        <v>326.0869565217392</v>
      </c>
      <c r="U7" s="32">
        <f>MIN(R7*D31,D5)</f>
        <v>326.0869565217392</v>
      </c>
      <c r="V7" s="36">
        <f>(S7*D52*0.8*O7)-((D38*T7)+(D36*U7))</f>
        <v>-262173.91304347833</v>
      </c>
      <c r="W7" s="36">
        <f>((S7*D52*0.8*O7)*((0.5*(D46+D40))-(0.4*O7)))+(((D38*T7)-(D36*U7))*0.5*(D46-D43))</f>
        <v>0</v>
      </c>
      <c r="X7" s="18">
        <f t="shared" si="0"/>
        <v>-262.1739130434783</v>
      </c>
      <c r="Y7" s="19">
        <f t="shared" si="1"/>
        <v>0</v>
      </c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</row>
    <row r="8" spans="1:44" ht="12.75">
      <c r="A8" s="177"/>
      <c r="B8" s="139"/>
      <c r="C8" s="172" t="s">
        <v>22</v>
      </c>
      <c r="D8" s="150">
        <f>D11/1.15</f>
        <v>326.0869565217392</v>
      </c>
      <c r="E8" s="98"/>
      <c r="F8" s="98"/>
      <c r="G8" s="98"/>
      <c r="H8" s="98"/>
      <c r="I8" s="98"/>
      <c r="J8" s="2"/>
      <c r="K8" s="98"/>
      <c r="M8" s="11"/>
      <c r="N8" s="12">
        <v>0</v>
      </c>
      <c r="O8" s="15">
        <f>N8*D46</f>
        <v>0</v>
      </c>
      <c r="P8" s="62">
        <f>Q8*O8/(D46-O8)</f>
        <v>0</v>
      </c>
      <c r="Q8" s="15">
        <f>D25</f>
        <v>0.01</v>
      </c>
      <c r="R8" s="57">
        <f>Q8*(D43-O8)/(D46-O8)</f>
        <v>0.000989010989010989</v>
      </c>
      <c r="S8" s="15">
        <f>1000*0.85*D1*(P8-(250*P8^2))</f>
        <v>0</v>
      </c>
      <c r="T8" s="15">
        <f>D8</f>
        <v>326.0869565217392</v>
      </c>
      <c r="U8" s="58">
        <f>MIN(R8*D31,D5)</f>
        <v>203.73626373626374</v>
      </c>
      <c r="V8" s="37">
        <f>(S8*D52*0.8*O8)-((D38*T8)+(D36*U8))</f>
        <v>-212988.9345437172</v>
      </c>
      <c r="W8" s="37">
        <f>((S8*D52*0.8*O8)*((0.5*(D46+D40))-(0.4*O8)))+(((D38*T8)-(D36*U8))*0.5*(D46-D43))</f>
        <v>8066336.473960827</v>
      </c>
      <c r="X8" s="20">
        <f t="shared" si="0"/>
        <v>-212.9889345437172</v>
      </c>
      <c r="Y8" s="21">
        <f t="shared" si="1"/>
        <v>8.066336473960828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</row>
    <row r="9" spans="1:44" ht="12.75">
      <c r="A9" s="177"/>
      <c r="B9" s="139"/>
      <c r="C9" s="170"/>
      <c r="D9" s="151"/>
      <c r="E9" s="98"/>
      <c r="F9" s="98"/>
      <c r="G9" s="99"/>
      <c r="H9" s="99"/>
      <c r="I9" s="99"/>
      <c r="J9" s="98"/>
      <c r="K9" s="98"/>
      <c r="M9" s="120" t="s">
        <v>14</v>
      </c>
      <c r="N9" s="2">
        <v>0.05</v>
      </c>
      <c r="O9" s="31">
        <f>N9*D46</f>
        <v>18.2</v>
      </c>
      <c r="P9" s="34">
        <f>Q9*O9/(D46-O9)</f>
        <v>0.0005263157894736842</v>
      </c>
      <c r="Q9" s="31">
        <f>D25</f>
        <v>0.01</v>
      </c>
      <c r="R9" s="34">
        <f>Q9*(D43-O9)/(D46-O9)</f>
        <v>0.0005147484094852517</v>
      </c>
      <c r="S9" s="31">
        <f>1000*0.85*D1*(P9-(250*P9^2))</f>
        <v>6.046095914127423</v>
      </c>
      <c r="T9" s="31">
        <f>D8</f>
        <v>326.0869565217392</v>
      </c>
      <c r="U9" s="31">
        <f>MIN(R9*D31,D5)</f>
        <v>106.03817235396184</v>
      </c>
      <c r="V9" s="36">
        <f>(S9*D52*0.8*O9)-((D38*T9)+(D36*U9))</f>
        <v>-138501.83920415372</v>
      </c>
      <c r="W9" s="36">
        <f>((S9*D52*0.8*O9)*((0.5*(D46+D40))-(0.4*O9)))+(((D38*T9)-(D36*U9))*0.5*(D46-D43))</f>
        <v>21293522.035632618</v>
      </c>
      <c r="X9" s="18">
        <f t="shared" si="0"/>
        <v>-138.50183920415373</v>
      </c>
      <c r="Y9" s="19">
        <f t="shared" si="1"/>
        <v>21.293522035632616</v>
      </c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12.75">
      <c r="A10" s="177"/>
      <c r="B10" s="139"/>
      <c r="C10" s="171"/>
      <c r="D10" s="152"/>
      <c r="E10" s="98"/>
      <c r="F10" s="98"/>
      <c r="G10" s="99"/>
      <c r="H10" s="99"/>
      <c r="I10" s="99"/>
      <c r="J10" s="98"/>
      <c r="K10" s="98"/>
      <c r="M10" s="120"/>
      <c r="N10" s="51">
        <f>O10/D46</f>
        <v>0.0989010989010989</v>
      </c>
      <c r="O10" s="39">
        <f>D43</f>
        <v>36</v>
      </c>
      <c r="P10" s="48">
        <f>Q10*O10/(D46-O10)</f>
        <v>0.001097560975609756</v>
      </c>
      <c r="Q10" s="39">
        <f>D25</f>
        <v>0.01</v>
      </c>
      <c r="R10" s="54">
        <f>Q10*(D43-O10)/(D46-O10)</f>
        <v>0</v>
      </c>
      <c r="S10" s="39">
        <f>1000*0.85*D1*(P10-(250*P10^2))</f>
        <v>10.534891340719808</v>
      </c>
      <c r="T10" s="39">
        <f>D8</f>
        <v>326.0869565217392</v>
      </c>
      <c r="U10" s="39">
        <f>MAX(R10*D31,-D5)</f>
        <v>0</v>
      </c>
      <c r="V10" s="45">
        <f>(S10*D52*0.8*O10)-((D38*T10)+(D36*U10))</f>
        <v>-9725.008276646971</v>
      </c>
      <c r="W10" s="45">
        <f>((S10*D52*0.8*O10)*((0.5*(D46+D40))-(0.4*O10)))+(((D38*T10)-(D36*U10))*0.5*(D46-D43))</f>
        <v>44023038.46385433</v>
      </c>
      <c r="X10" s="52">
        <f t="shared" si="0"/>
        <v>-9.725008276646971</v>
      </c>
      <c r="Y10" s="60">
        <f t="shared" si="1"/>
        <v>44.02303846385433</v>
      </c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</row>
    <row r="11" spans="1:44" ht="12.75">
      <c r="A11" s="177"/>
      <c r="B11" s="139"/>
      <c r="C11" s="167" t="s">
        <v>23</v>
      </c>
      <c r="D11" s="162">
        <v>375</v>
      </c>
      <c r="E11" s="99"/>
      <c r="F11" s="99"/>
      <c r="G11" s="100"/>
      <c r="H11" s="100"/>
      <c r="I11" s="100"/>
      <c r="J11" s="99"/>
      <c r="K11" s="99"/>
      <c r="M11" s="120"/>
      <c r="N11" s="8">
        <v>0.1</v>
      </c>
      <c r="O11" s="31">
        <f>N11*D46</f>
        <v>36.4</v>
      </c>
      <c r="P11" s="34">
        <f>Q11*O11/(D46-O11)</f>
        <v>0.0011111111111111111</v>
      </c>
      <c r="Q11" s="31">
        <f>D25</f>
        <v>0.01</v>
      </c>
      <c r="R11" s="34">
        <f>Q11*(D43-O11)/(D46-O11)</f>
        <v>-1.2210012210012168E-05</v>
      </c>
      <c r="S11" s="31">
        <f>1000*0.85*D1*(P11-(250*P11^2))</f>
        <v>10.615162037037036</v>
      </c>
      <c r="T11" s="31">
        <f>D8</f>
        <v>326.0869565217392</v>
      </c>
      <c r="U11" s="31">
        <f>MAX(R11*D31,-D5)</f>
        <v>-2.5152625152625063</v>
      </c>
      <c r="V11" s="36">
        <f>(S11*D52*0.8*O11)-((D38*T11)+(D36*U11))</f>
        <v>-6430.413583196219</v>
      </c>
      <c r="W11" s="36">
        <f>((S11*D52*0.8*O11)*((0.5*(D46+D40))-(0.4*O11)))+(((D38*T11)-(D36*U11))*0.5*(D46-D43))</f>
        <v>44592891.44630107</v>
      </c>
      <c r="X11" s="18">
        <f t="shared" si="0"/>
        <v>-6.430413583196219</v>
      </c>
      <c r="Y11" s="19">
        <f t="shared" si="1"/>
        <v>44.592891446301074</v>
      </c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</row>
    <row r="12" spans="1:44" ht="13.5" thickBot="1">
      <c r="A12" s="177"/>
      <c r="B12" s="142"/>
      <c r="C12" s="168"/>
      <c r="D12" s="163"/>
      <c r="E12" s="99"/>
      <c r="F12" s="99"/>
      <c r="G12" s="100"/>
      <c r="H12" s="100"/>
      <c r="I12" s="100"/>
      <c r="J12" s="99"/>
      <c r="K12" s="99"/>
      <c r="M12" s="120"/>
      <c r="N12" s="2">
        <v>0.15</v>
      </c>
      <c r="O12" s="31">
        <f>N12*D46</f>
        <v>54.6</v>
      </c>
      <c r="P12" s="34">
        <f>Q12*O12/(D46-O12)</f>
        <v>0.0017647058823529415</v>
      </c>
      <c r="Q12" s="31">
        <f>D25</f>
        <v>0.01</v>
      </c>
      <c r="R12" s="34">
        <f>Q12*(D43-O12)/(D46-O12)</f>
        <v>-0.000601163542340013</v>
      </c>
      <c r="S12" s="31">
        <f>1000*0.85*D1*(P12-(250*P12^2))</f>
        <v>13.04503676470588</v>
      </c>
      <c r="T12" s="31">
        <f>D8</f>
        <v>326.0869565217392</v>
      </c>
      <c r="U12" s="31">
        <f>MAX(R12*D31,-D5)</f>
        <v>-123.83968972204268</v>
      </c>
      <c r="V12" s="36">
        <f>(S12*D52*0.8*O12)-((D38*T12)+(D36*U12))</f>
        <v>146619.48109946318</v>
      </c>
      <c r="W12" s="36">
        <f>((S12*D52*0.8*O12)*((0.5*(D46+D40))-(0.4*O12)))+(((D38*T12)-(D36*U12))*0.5*(D46-D43))</f>
        <v>70269504.65356004</v>
      </c>
      <c r="X12" s="18">
        <f t="shared" si="0"/>
        <v>146.61948109946317</v>
      </c>
      <c r="Y12" s="19">
        <f t="shared" si="1"/>
        <v>70.26950465356005</v>
      </c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</row>
    <row r="13" spans="1:44" ht="13.5" thickTop="1">
      <c r="A13" s="177"/>
      <c r="B13" s="153" t="s">
        <v>12</v>
      </c>
      <c r="C13" s="180" t="s">
        <v>24</v>
      </c>
      <c r="D13" s="173">
        <v>0.0035</v>
      </c>
      <c r="E13" s="100"/>
      <c r="F13" s="100"/>
      <c r="G13" s="100"/>
      <c r="H13" s="100"/>
      <c r="I13" s="100"/>
      <c r="J13" s="100"/>
      <c r="K13" s="100"/>
      <c r="M13" s="11"/>
      <c r="N13" s="14">
        <f>1/6</f>
        <v>0.16666666666666666</v>
      </c>
      <c r="O13" s="15">
        <f>N13*D46</f>
        <v>60.666666666666664</v>
      </c>
      <c r="P13" s="63">
        <f>Q13*O13/(D46-O13)</f>
        <v>0.002</v>
      </c>
      <c r="Q13" s="15">
        <f>D25</f>
        <v>0.01</v>
      </c>
      <c r="R13" s="35">
        <f>Q13*(D43-O13)/(D46-O13)</f>
        <v>-0.0008131868131868132</v>
      </c>
      <c r="S13" s="15">
        <f>1000*0.85*D1*(P13-(250*P13^2))</f>
        <v>13.228124999999999</v>
      </c>
      <c r="T13" s="15">
        <f>D8</f>
        <v>326.0869565217392</v>
      </c>
      <c r="U13" s="15">
        <f>MAX(R13*D31,-D5)</f>
        <v>-167.5164835164835</v>
      </c>
      <c r="V13" s="37">
        <f>(S13*D52*0.8*O13)-((D38*T13)+(D36*U13))</f>
        <v>193056.66985188716</v>
      </c>
      <c r="W13" s="37">
        <f>((S13*D52*0.8*O13)*((0.5*(D46+D40))-(0.4*O13)))+(((D38*T13)-(D36*U13))*0.5*(D46-D43))</f>
        <v>77670959.06150661</v>
      </c>
      <c r="X13" s="20">
        <f t="shared" si="0"/>
        <v>193.05666985188716</v>
      </c>
      <c r="Y13" s="21">
        <f t="shared" si="1"/>
        <v>77.67095906150661</v>
      </c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</row>
    <row r="14" spans="1:44" ht="12.75">
      <c r="A14" s="177"/>
      <c r="B14" s="139"/>
      <c r="C14" s="165"/>
      <c r="D14" s="174"/>
      <c r="E14" s="100"/>
      <c r="F14" s="100"/>
      <c r="G14" s="100"/>
      <c r="H14" s="100"/>
      <c r="I14" s="100"/>
      <c r="J14" s="100"/>
      <c r="K14" s="100"/>
      <c r="M14" s="120" t="s">
        <v>13</v>
      </c>
      <c r="N14" s="9">
        <v>0.2</v>
      </c>
      <c r="O14" s="39">
        <f>N14*D46</f>
        <v>72.8</v>
      </c>
      <c r="P14" s="48">
        <f>Q14*O14/(D46-O14)</f>
        <v>0.0025</v>
      </c>
      <c r="Q14" s="39">
        <f>D25</f>
        <v>0.01</v>
      </c>
      <c r="R14" s="48">
        <f>Q14*(D43-O14)/(D46-O14)</f>
        <v>-0.0012637362637362638</v>
      </c>
      <c r="S14" s="39">
        <f>0.85*D1</f>
        <v>13.228124999999999</v>
      </c>
      <c r="T14" s="39">
        <f>D8</f>
        <v>326.0869565217392</v>
      </c>
      <c r="U14" s="39">
        <f>MAX(R14*D31,-D5)</f>
        <v>-260.32967032967036</v>
      </c>
      <c r="V14" s="45">
        <f>(S14*D52*0.8*O14)-((D38*T14)+(D36*U14))</f>
        <v>281727.97095078824</v>
      </c>
      <c r="W14" s="45">
        <f>((S14*D52*0.8*O14)*((0.5*(D46+D40))-(0.4*O14)))+(((D38*T14)-(D36*U14))*0.5*(D46-D43))</f>
        <v>91320066.28705972</v>
      </c>
      <c r="X14" s="52">
        <f>V14/1000</f>
        <v>281.72797095078823</v>
      </c>
      <c r="Y14" s="60">
        <f>W14/POWER(1000,2)</f>
        <v>91.32006628705973</v>
      </c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</row>
    <row r="15" spans="1:44" ht="12.75">
      <c r="A15" s="177"/>
      <c r="B15" s="139"/>
      <c r="C15" s="166"/>
      <c r="D15" s="175"/>
      <c r="E15" s="100"/>
      <c r="F15" s="100"/>
      <c r="G15" s="100"/>
      <c r="H15" s="100"/>
      <c r="I15" s="100"/>
      <c r="J15" s="100"/>
      <c r="K15" s="100"/>
      <c r="M15" s="120"/>
      <c r="N15" s="51">
        <f>O15/D46</f>
        <v>0.222046903533784</v>
      </c>
      <c r="O15" s="39">
        <f>((-R15*D46)+(Q15*D43))/(-R15+Q15)</f>
        <v>80.82507288629738</v>
      </c>
      <c r="P15" s="34">
        <f>Q15*O15/(D46-O15)</f>
        <v>0.0028542453850034493</v>
      </c>
      <c r="Q15" s="31">
        <f>D25</f>
        <v>0.01</v>
      </c>
      <c r="R15" s="53">
        <f>-D22</f>
        <v>-0.001582946390882229</v>
      </c>
      <c r="S15" s="31">
        <f>0.85*D1</f>
        <v>13.228124999999999</v>
      </c>
      <c r="T15" s="31">
        <f>D8</f>
        <v>326.0869565217392</v>
      </c>
      <c r="U15" s="31">
        <f>MAX(R15*D31,-D5)</f>
        <v>-326.0869565217392</v>
      </c>
      <c r="V15" s="36">
        <f>(S15*D52*0.8*O15)-((D38*T15)+(D36*U15))</f>
        <v>342132.53352769674</v>
      </c>
      <c r="W15" s="36">
        <f>((S15*D52*0.8*O15)*((0.5*(D46+D40))-(0.4*O15)))+(((D38*T15)-(D36*U15))*0.5*(D46-D43))</f>
        <v>100361873.66100991</v>
      </c>
      <c r="X15" s="18">
        <f t="shared" si="0"/>
        <v>342.13253352769675</v>
      </c>
      <c r="Y15" s="19">
        <f t="shared" si="1"/>
        <v>100.36187366100991</v>
      </c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</row>
    <row r="16" spans="1:44" ht="12.75">
      <c r="A16" s="177"/>
      <c r="B16" s="139"/>
      <c r="C16" s="164" t="s">
        <v>25</v>
      </c>
      <c r="D16" s="179">
        <v>0.002</v>
      </c>
      <c r="E16" s="100"/>
      <c r="F16" s="100"/>
      <c r="G16" s="100"/>
      <c r="H16" s="100"/>
      <c r="I16" s="100"/>
      <c r="J16" s="100"/>
      <c r="K16" s="100"/>
      <c r="M16" s="120"/>
      <c r="N16" s="2">
        <v>0.25</v>
      </c>
      <c r="O16" s="31">
        <f>N16*D46</f>
        <v>91</v>
      </c>
      <c r="P16" s="34">
        <f>Q16*O16/(D46-O16)</f>
        <v>0.0033333333333333335</v>
      </c>
      <c r="Q16" s="31">
        <f>D25</f>
        <v>0.01</v>
      </c>
      <c r="R16" s="34">
        <f>Q16*(D43-O16)/(D46-O16)</f>
        <v>-0.002014652014652015</v>
      </c>
      <c r="S16" s="31">
        <f>0.85*D1</f>
        <v>13.228124999999999</v>
      </c>
      <c r="T16" s="31">
        <f>D8</f>
        <v>326.0869565217392</v>
      </c>
      <c r="U16" s="31">
        <f>MAX(R16*D31,-D5)</f>
        <v>-326.0869565217392</v>
      </c>
      <c r="V16" s="36">
        <f>(S16*D52*0.8*O16)-((D38*T16)+(D36*U16))</f>
        <v>385202.99999999994</v>
      </c>
      <c r="W16" s="36">
        <f>((S16*D52*0.8*O16)*((0.5*(D46+D40))-(0.4*O16)))+(((D38*T16)-(D36*U16))*0.5*(D46-D43))</f>
        <v>106015732.53913043</v>
      </c>
      <c r="X16" s="18">
        <f t="shared" si="0"/>
        <v>385.2029999999999</v>
      </c>
      <c r="Y16" s="19">
        <f t="shared" si="1"/>
        <v>106.01573253913044</v>
      </c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</row>
    <row r="17" spans="1:44" ht="12.75">
      <c r="A17" s="177"/>
      <c r="B17" s="139"/>
      <c r="C17" s="165"/>
      <c r="D17" s="174"/>
      <c r="E17" s="100"/>
      <c r="F17" s="100"/>
      <c r="G17" s="100"/>
      <c r="H17" s="100"/>
      <c r="I17" s="100"/>
      <c r="J17" s="100"/>
      <c r="K17" s="100"/>
      <c r="M17" s="11"/>
      <c r="N17" s="14">
        <f>1/(1+D25/D13)</f>
        <v>0.25925925925925924</v>
      </c>
      <c r="O17" s="15">
        <f>N17*D46</f>
        <v>94.37037037037037</v>
      </c>
      <c r="P17" s="63">
        <f>Q17*O17/(D46-O17)</f>
        <v>0.0035</v>
      </c>
      <c r="Q17" s="62">
        <f>D25</f>
        <v>0.01</v>
      </c>
      <c r="R17" s="35">
        <f>Q17*(D43-O17)/(D46-O17)</f>
        <v>-0.002164835164835165</v>
      </c>
      <c r="S17" s="15">
        <f>0.85*D1</f>
        <v>13.228124999999999</v>
      </c>
      <c r="T17" s="15">
        <f>D8</f>
        <v>326.0869565217392</v>
      </c>
      <c r="U17" s="15">
        <f>MAX(R17*D31,-D5)</f>
        <v>-326.0869565217392</v>
      </c>
      <c r="V17" s="37">
        <f>(S17*D52*0.8*O17)-((D38*T17)+(D36*U17))</f>
        <v>399469.7777777777</v>
      </c>
      <c r="W17" s="37">
        <f>((S17*D52*0.8*O17)*((0.5*(D46+D40))-(0.4*O17)))+(((D38*T17)-(D36*U17))*0.5*(D46-D43))</f>
        <v>107811232.94242261</v>
      </c>
      <c r="X17" s="20">
        <f t="shared" si="0"/>
        <v>399.4697777777777</v>
      </c>
      <c r="Y17" s="21">
        <f t="shared" si="1"/>
        <v>107.81123294242262</v>
      </c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</row>
    <row r="18" spans="1:44" ht="13.5" thickBot="1">
      <c r="A18" s="177"/>
      <c r="B18" s="139"/>
      <c r="C18" s="181"/>
      <c r="D18" s="196"/>
      <c r="E18" s="100"/>
      <c r="F18" s="100"/>
      <c r="G18" s="100"/>
      <c r="H18" s="100"/>
      <c r="I18" s="100"/>
      <c r="J18" s="100"/>
      <c r="K18" s="100"/>
      <c r="M18" s="120">
        <v>3</v>
      </c>
      <c r="N18" s="8">
        <v>0.3</v>
      </c>
      <c r="O18" s="39">
        <f>N18*D46</f>
        <v>109.2</v>
      </c>
      <c r="P18" s="38">
        <f>D13</f>
        <v>0.0035</v>
      </c>
      <c r="Q18" s="34">
        <f>P18*(D46-O18)/O18</f>
        <v>0.008166666666666668</v>
      </c>
      <c r="R18" s="34">
        <f>P18*(D43-O18)/O18</f>
        <v>-0.0023461538461538463</v>
      </c>
      <c r="S18" s="31">
        <f>0.85*D1</f>
        <v>13.228124999999999</v>
      </c>
      <c r="T18" s="39">
        <f>D8</f>
        <v>326.0869565217392</v>
      </c>
      <c r="U18" s="39">
        <f>MAX(R18*D31,-D5)</f>
        <v>-326.0869565217392</v>
      </c>
      <c r="V18" s="45">
        <f>(S18*D52*0.8*O18)-((D38*T18)+(D36*U18))</f>
        <v>462243.5999999999</v>
      </c>
      <c r="W18" s="45">
        <f>((S18*D52*0.8*O18)*((0.5*(D46+D40))-(0.4*O18)))+(((D38*T18)-(D36*U18))*0.5*(D46-D43))</f>
        <v>115254441.29113042</v>
      </c>
      <c r="X18" s="18">
        <f t="shared" si="0"/>
        <v>462.2435999999999</v>
      </c>
      <c r="Y18" s="19">
        <f t="shared" si="1"/>
        <v>115.25444129113042</v>
      </c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</row>
    <row r="19" spans="1:44" ht="13.5" thickTop="1">
      <c r="A19" s="177"/>
      <c r="B19" s="139"/>
      <c r="C19" s="180" t="s">
        <v>26</v>
      </c>
      <c r="D19" s="173">
        <v>0.01</v>
      </c>
      <c r="E19" s="100"/>
      <c r="F19" s="100"/>
      <c r="G19" s="100"/>
      <c r="H19" s="100"/>
      <c r="I19" s="100"/>
      <c r="J19" s="100"/>
      <c r="K19" s="100"/>
      <c r="M19" s="120"/>
      <c r="N19" s="2">
        <v>0.35</v>
      </c>
      <c r="O19" s="39">
        <f>N19*D46</f>
        <v>127.39999999999999</v>
      </c>
      <c r="P19" s="38">
        <f>D13</f>
        <v>0.0035</v>
      </c>
      <c r="Q19" s="34">
        <f>P19*(D46-O19)/O19</f>
        <v>0.006500000000000001</v>
      </c>
      <c r="R19" s="34">
        <f>P19*(D43-O19)/O19</f>
        <v>-0.002510989010989011</v>
      </c>
      <c r="S19" s="31">
        <f>0.85*D1</f>
        <v>13.228124999999999</v>
      </c>
      <c r="T19" s="39">
        <f>D8</f>
        <v>326.0869565217392</v>
      </c>
      <c r="U19" s="39">
        <f>MAX(R19*D31,-D5)</f>
        <v>-326.0869565217392</v>
      </c>
      <c r="V19" s="45">
        <f>(S19*D52*0.8*O19)-((D38*T19)+(D36*U19))</f>
        <v>539284.1999999998</v>
      </c>
      <c r="W19" s="45">
        <f>((S19*D52*0.8*O19)*((0.5*(D46+D40))-(0.4*O19)))+(((D38*T19)-(D36*U19))*0.5*(D46-D43))</f>
        <v>123371438.90713042</v>
      </c>
      <c r="X19" s="18">
        <f t="shared" si="0"/>
        <v>539.2841999999998</v>
      </c>
      <c r="Y19" s="19">
        <f t="shared" si="1"/>
        <v>123.37143890713043</v>
      </c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</row>
    <row r="20" spans="1:44" ht="12.75">
      <c r="A20" s="177"/>
      <c r="B20" s="139"/>
      <c r="C20" s="165"/>
      <c r="D20" s="174"/>
      <c r="E20" s="100"/>
      <c r="F20" s="100"/>
      <c r="G20" s="100"/>
      <c r="H20" s="100"/>
      <c r="I20" s="100"/>
      <c r="J20" s="100"/>
      <c r="K20" s="100"/>
      <c r="M20" s="120"/>
      <c r="N20" s="8">
        <v>0.4</v>
      </c>
      <c r="O20" s="39">
        <f>N20*D46</f>
        <v>145.6</v>
      </c>
      <c r="P20" s="38">
        <f>D13</f>
        <v>0.0035</v>
      </c>
      <c r="Q20" s="34">
        <f>P20*(D46-O20)/O20</f>
        <v>0.00525</v>
      </c>
      <c r="R20" s="34">
        <f>P20*(D43-O20)/O20</f>
        <v>-0.0026346153846153846</v>
      </c>
      <c r="S20" s="31">
        <f>0.85*D1</f>
        <v>13.228124999999999</v>
      </c>
      <c r="T20" s="39">
        <f>D8</f>
        <v>326.0869565217392</v>
      </c>
      <c r="U20" s="39">
        <f>MAX(R20*D31,-D5)</f>
        <v>-326.0869565217392</v>
      </c>
      <c r="V20" s="45">
        <f>(S20*D52*0.8*O20)-((D38*T20)+(D36*U20))</f>
        <v>616324.7999999998</v>
      </c>
      <c r="W20" s="45">
        <f>((S20*D52*0.8*O20)*((0.5*(D46+D40))-(0.4*O20)))+(((D38*T20)-(D36*U20))*0.5*(D46-D43))</f>
        <v>130366725.38713041</v>
      </c>
      <c r="X20" s="18">
        <f t="shared" si="0"/>
        <v>616.3247999999999</v>
      </c>
      <c r="Y20" s="19">
        <f t="shared" si="1"/>
        <v>130.3667253871304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</row>
    <row r="21" spans="1:44" ht="12.75">
      <c r="A21" s="177"/>
      <c r="B21" s="139"/>
      <c r="C21" s="166"/>
      <c r="D21" s="175"/>
      <c r="E21" s="100"/>
      <c r="F21" s="100"/>
      <c r="G21" s="100"/>
      <c r="H21" s="100"/>
      <c r="I21" s="100"/>
      <c r="J21" s="100"/>
      <c r="K21" s="100"/>
      <c r="M21" s="120"/>
      <c r="N21" s="2">
        <v>0.45</v>
      </c>
      <c r="O21" s="39">
        <f>N21*D46</f>
        <v>163.8</v>
      </c>
      <c r="P21" s="38">
        <f>D13</f>
        <v>0.0035</v>
      </c>
      <c r="Q21" s="34">
        <f>P21*(D46-O21)/O21</f>
        <v>0.004277777777777777</v>
      </c>
      <c r="R21" s="34">
        <f>P21*(D43-O21)/O21</f>
        <v>-0.0027307692307692306</v>
      </c>
      <c r="S21" s="31">
        <f>0.85*D1</f>
        <v>13.228124999999999</v>
      </c>
      <c r="T21" s="39">
        <f>D8</f>
        <v>326.0869565217392</v>
      </c>
      <c r="U21" s="39">
        <f>MAX(R21*D31,-D5)</f>
        <v>-326.0869565217392</v>
      </c>
      <c r="V21" s="45">
        <f>(S21*D52*0.8*O21)-((D38*T21)+(D36*U21))</f>
        <v>693365.3999999999</v>
      </c>
      <c r="W21" s="45">
        <f>((S21*D52*0.8*O21)*((0.5*(D46+D40))-(0.4*O21)))+(((D38*T21)-(D36*U21))*0.5*(D46-D43))</f>
        <v>136240300.73113042</v>
      </c>
      <c r="X21" s="18">
        <f t="shared" si="0"/>
        <v>693.3653999999999</v>
      </c>
      <c r="Y21" s="19">
        <f t="shared" si="1"/>
        <v>136.24030073113042</v>
      </c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</row>
    <row r="22" spans="1:44" ht="12.75">
      <c r="A22" s="177"/>
      <c r="B22" s="139"/>
      <c r="C22" s="164" t="s">
        <v>27</v>
      </c>
      <c r="D22" s="179">
        <f>D5/D31</f>
        <v>0.001582946390882229</v>
      </c>
      <c r="E22" s="100"/>
      <c r="F22" s="100"/>
      <c r="G22" s="100"/>
      <c r="H22" s="100"/>
      <c r="I22" s="100"/>
      <c r="J22" s="100"/>
      <c r="K22" s="100"/>
      <c r="M22" s="120"/>
      <c r="N22" s="8">
        <v>0.5</v>
      </c>
      <c r="O22" s="39">
        <f>N22*D46</f>
        <v>182</v>
      </c>
      <c r="P22" s="38">
        <f>D13</f>
        <v>0.0035</v>
      </c>
      <c r="Q22" s="34">
        <f>P22*(D46-O22)/O22</f>
        <v>0.0035</v>
      </c>
      <c r="R22" s="34">
        <f>P22*(D43-O22)/O22</f>
        <v>-0.002807692307692308</v>
      </c>
      <c r="S22" s="31">
        <f>0.85*D1</f>
        <v>13.228124999999999</v>
      </c>
      <c r="T22" s="39">
        <f>D8</f>
        <v>326.0869565217392</v>
      </c>
      <c r="U22" s="39">
        <f>MAX(R22*D31,-D5)</f>
        <v>-326.0869565217392</v>
      </c>
      <c r="V22" s="45">
        <f>(S22*D52*0.8*O22)-((D38*T22)+(D36*U22))</f>
        <v>770405.9999999999</v>
      </c>
      <c r="W22" s="45">
        <f>((S22*D52*0.8*O22)*((0.5*(D46+D40))-(0.4*O22)))+(((D38*T22)-(D36*U22))*0.5*(D46-D43))</f>
        <v>140992164.93913043</v>
      </c>
      <c r="X22" s="18">
        <f t="shared" si="0"/>
        <v>770.4059999999998</v>
      </c>
      <c r="Y22" s="19">
        <f t="shared" si="1"/>
        <v>140.99216493913042</v>
      </c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</row>
    <row r="23" spans="1:44" ht="12.75">
      <c r="A23" s="177"/>
      <c r="B23" s="139"/>
      <c r="C23" s="165"/>
      <c r="D23" s="174"/>
      <c r="E23" s="100"/>
      <c r="F23" s="100"/>
      <c r="G23" s="100"/>
      <c r="H23" s="100"/>
      <c r="I23" s="100"/>
      <c r="J23" s="100"/>
      <c r="K23" s="100"/>
      <c r="M23" s="120"/>
      <c r="N23" s="2">
        <v>0.55</v>
      </c>
      <c r="O23" s="39">
        <f>N23*D46</f>
        <v>200.20000000000002</v>
      </c>
      <c r="P23" s="38">
        <f>D13</f>
        <v>0.0035</v>
      </c>
      <c r="Q23" s="34">
        <f>P23*(D46-O23)/O23</f>
        <v>0.002863636363636363</v>
      </c>
      <c r="R23" s="34">
        <f>P23*(D43-O23)/O23</f>
        <v>-0.002870629370629371</v>
      </c>
      <c r="S23" s="31">
        <f>0.85*D1</f>
        <v>13.228124999999999</v>
      </c>
      <c r="T23" s="39">
        <f>D8</f>
        <v>326.0869565217392</v>
      </c>
      <c r="U23" s="39">
        <f>MAX(R23*D31,-D5)</f>
        <v>-326.0869565217392</v>
      </c>
      <c r="V23" s="45">
        <f>(S23*D52*0.8*O23)-((D38*T23)+(D36*U23))</f>
        <v>847446.5999999999</v>
      </c>
      <c r="W23" s="45">
        <f>((S23*D52*0.8*O23)*((0.5*(D46+D40))-(0.4*O23)))+(((D38*T23)-(D36*U23))*0.5*(D46-D43))</f>
        <v>144622318.01113042</v>
      </c>
      <c r="X23" s="18">
        <f t="shared" si="0"/>
        <v>847.4465999999999</v>
      </c>
      <c r="Y23" s="19">
        <f t="shared" si="1"/>
        <v>144.62231801113043</v>
      </c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</row>
    <row r="24" spans="1:44" ht="12.75">
      <c r="A24" s="177"/>
      <c r="B24" s="139"/>
      <c r="C24" s="166"/>
      <c r="D24" s="175"/>
      <c r="E24" s="100"/>
      <c r="F24" s="100"/>
      <c r="G24" s="100"/>
      <c r="H24" s="100"/>
      <c r="I24" s="100"/>
      <c r="J24" s="100"/>
      <c r="K24" s="100"/>
      <c r="M24" s="120"/>
      <c r="N24" s="8">
        <v>0.6</v>
      </c>
      <c r="O24" s="39">
        <f>N24*D46</f>
        <v>218.4</v>
      </c>
      <c r="P24" s="38">
        <f>D13</f>
        <v>0.0035</v>
      </c>
      <c r="Q24" s="34">
        <f>P24*(D46-O24)/O24</f>
        <v>0.002333333333333333</v>
      </c>
      <c r="R24" s="34">
        <f>P24*(D43-O24)/O24</f>
        <v>-0.002923076923076923</v>
      </c>
      <c r="S24" s="31">
        <f>0.85*D1</f>
        <v>13.228124999999999</v>
      </c>
      <c r="T24" s="39">
        <f>D8</f>
        <v>326.0869565217392</v>
      </c>
      <c r="U24" s="39">
        <f>MAX(R24*D31,-D5)</f>
        <v>-326.0869565217392</v>
      </c>
      <c r="V24" s="45">
        <f>(S24*D52*0.8*O24)-((D38*T24)+(D36*U24))</f>
        <v>924487.1999999998</v>
      </c>
      <c r="W24" s="45">
        <f>((S24*D52*0.8*O24)*((0.5*(D46+D40))-(0.4*O24)))+(((D38*T24)-(D36*U24))*0.5*(D46-D43))</f>
        <v>147130759.9471304</v>
      </c>
      <c r="X24" s="18">
        <f t="shared" si="0"/>
        <v>924.4871999999998</v>
      </c>
      <c r="Y24" s="19">
        <f t="shared" si="1"/>
        <v>147.1307599471304</v>
      </c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</row>
    <row r="25" spans="1:44" ht="12.75">
      <c r="A25" s="177"/>
      <c r="B25" s="139"/>
      <c r="C25" s="164" t="s">
        <v>28</v>
      </c>
      <c r="D25" s="179">
        <v>0.01</v>
      </c>
      <c r="E25" s="100"/>
      <c r="F25" s="100"/>
      <c r="G25" s="100"/>
      <c r="H25" s="100"/>
      <c r="I25" s="100"/>
      <c r="J25" s="100"/>
      <c r="K25" s="100"/>
      <c r="M25" s="120"/>
      <c r="N25" s="2">
        <v>0.65</v>
      </c>
      <c r="O25" s="39">
        <f>N25*D46</f>
        <v>236.6</v>
      </c>
      <c r="P25" s="38">
        <f>D13</f>
        <v>0.0035</v>
      </c>
      <c r="Q25" s="34">
        <f>P25*(D46-O25)/O25</f>
        <v>0.0018846153846153848</v>
      </c>
      <c r="R25" s="34">
        <f>P25*(D43-O25)/O25</f>
        <v>-0.002967455621301775</v>
      </c>
      <c r="S25" s="31">
        <f>0.85*D1</f>
        <v>13.228124999999999</v>
      </c>
      <c r="T25" s="39">
        <f>D8</f>
        <v>326.0869565217392</v>
      </c>
      <c r="U25" s="39">
        <f>MAX(R25*D31,-D5)</f>
        <v>-326.0869565217392</v>
      </c>
      <c r="V25" s="45">
        <f>(S25*D52*0.8*O25)-((D38*T25)+(D36*U25))</f>
        <v>1001527.7999999998</v>
      </c>
      <c r="W25" s="45">
        <f>((S25*D52*0.8*O25)*((0.5*(D46+D40))-(0.4*O25)))+(((D38*T25)-(D36*U25))*0.5*(D46-D43))</f>
        <v>148517490.74713042</v>
      </c>
      <c r="X25" s="18">
        <f t="shared" si="0"/>
        <v>1001.5277999999998</v>
      </c>
      <c r="Y25" s="19">
        <f t="shared" si="1"/>
        <v>148.51749074713044</v>
      </c>
      <c r="Z25" s="103"/>
      <c r="AA25" s="103"/>
      <c r="AB25" s="102"/>
      <c r="AC25" s="102"/>
      <c r="AD25" s="102"/>
      <c r="AE25" s="102"/>
      <c r="AF25" s="102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</row>
    <row r="26" spans="1:44" ht="12.75">
      <c r="A26" s="177"/>
      <c r="B26" s="139"/>
      <c r="C26" s="165"/>
      <c r="D26" s="174"/>
      <c r="E26" s="100"/>
      <c r="F26" s="100"/>
      <c r="G26" s="100"/>
      <c r="H26" s="100"/>
      <c r="I26" s="100"/>
      <c r="J26" s="100"/>
      <c r="K26" s="100"/>
      <c r="M26" s="11"/>
      <c r="N26" s="14">
        <f>1/(1+D28/D13)</f>
        <v>0.6885770045260142</v>
      </c>
      <c r="O26" s="15">
        <f>N26*D46</f>
        <v>250.64202964746917</v>
      </c>
      <c r="P26" s="46">
        <f>D13</f>
        <v>0.0035</v>
      </c>
      <c r="Q26" s="61">
        <f>P26*(D46-O26)/O26</f>
        <v>0.0015829463908822287</v>
      </c>
      <c r="R26" s="35">
        <f>P26*(D43-O26)/O26</f>
        <v>-0.002997291016286373</v>
      </c>
      <c r="S26" s="15">
        <f>0.85*D1</f>
        <v>13.228124999999999</v>
      </c>
      <c r="T26" s="15">
        <f>Q26*D31</f>
        <v>326.0869565217391</v>
      </c>
      <c r="U26" s="15">
        <f>MAX(R26*D31,-D5)</f>
        <v>-326.0869565217392</v>
      </c>
      <c r="V26" s="37">
        <f>(S26*D52*0.8*O26)-((D38*T26)+(D36*U26))</f>
        <v>1060967.7114977369</v>
      </c>
      <c r="W26" s="37">
        <f>((S26*D52*0.8*O26)*((0.5*(D46+D40))-(0.4*O26)))+(((D38*T26)-(D36*U26))*0.5*(D46-D43))</f>
        <v>148820823.79858848</v>
      </c>
      <c r="X26" s="20">
        <f t="shared" si="0"/>
        <v>1060.967711497737</v>
      </c>
      <c r="Y26" s="21">
        <f t="shared" si="1"/>
        <v>148.8208237985885</v>
      </c>
      <c r="Z26" s="103"/>
      <c r="AA26" s="103"/>
      <c r="AB26" s="103"/>
      <c r="AC26" s="102"/>
      <c r="AD26" s="102"/>
      <c r="AE26" s="102"/>
      <c r="AF26" s="102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</row>
    <row r="27" spans="1:44" ht="12.75">
      <c r="A27" s="177"/>
      <c r="B27" s="139"/>
      <c r="C27" s="166"/>
      <c r="D27" s="175"/>
      <c r="E27" s="100"/>
      <c r="F27" s="100"/>
      <c r="G27" s="100"/>
      <c r="H27" s="100"/>
      <c r="I27" s="100"/>
      <c r="J27" s="100"/>
      <c r="K27" s="100"/>
      <c r="M27" s="120">
        <v>4</v>
      </c>
      <c r="N27" s="8">
        <v>0.7</v>
      </c>
      <c r="O27" s="39">
        <f>N27*D46</f>
        <v>254.79999999999998</v>
      </c>
      <c r="P27" s="38">
        <f>D13</f>
        <v>0.0035</v>
      </c>
      <c r="Q27" s="34">
        <f>P27*(D46-O27)/O27</f>
        <v>0.0015000000000000005</v>
      </c>
      <c r="R27" s="34">
        <f>P27*(D43-O27)/O27</f>
        <v>-0.0030054945054945052</v>
      </c>
      <c r="S27" s="31">
        <f>0.85*D1</f>
        <v>13.228124999999999</v>
      </c>
      <c r="T27" s="31">
        <f>Q27*D31</f>
        <v>309.0000000000001</v>
      </c>
      <c r="U27" s="39">
        <f>MAX(R27*D31,-D5)</f>
        <v>-326.0869565217392</v>
      </c>
      <c r="V27" s="45">
        <f>(S27*D52*0.8*O27)-((D38*T27)+(D36*U27))</f>
        <v>1085437.3565217387</v>
      </c>
      <c r="W27" s="45">
        <f>((S27*D52*0.8*O27)*((0.5*(D46+D40))-(0.4*O27)))+(((D38*T27)-(D36*U27))*0.5*(D46-D43))</f>
        <v>147656001.54156518</v>
      </c>
      <c r="X27" s="18">
        <f t="shared" si="0"/>
        <v>1085.4373565217386</v>
      </c>
      <c r="Y27" s="19">
        <f t="shared" si="1"/>
        <v>147.6560015415652</v>
      </c>
      <c r="Z27" s="103"/>
      <c r="AA27" s="103"/>
      <c r="AB27" s="102"/>
      <c r="AC27" s="102"/>
      <c r="AD27" s="102"/>
      <c r="AE27" s="102"/>
      <c r="AF27" s="102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</row>
    <row r="28" spans="1:44" ht="12.75">
      <c r="A28" s="177"/>
      <c r="B28" s="139"/>
      <c r="C28" s="164" t="s">
        <v>29</v>
      </c>
      <c r="D28" s="179">
        <f>D8/D31</f>
        <v>0.001582946390882229</v>
      </c>
      <c r="E28" s="100"/>
      <c r="F28" s="100"/>
      <c r="G28" s="100"/>
      <c r="H28" s="100"/>
      <c r="I28" s="100"/>
      <c r="J28" s="100"/>
      <c r="K28" s="100"/>
      <c r="M28" s="120"/>
      <c r="N28" s="2">
        <v>0.75</v>
      </c>
      <c r="O28" s="39">
        <f>N28*D46</f>
        <v>273</v>
      </c>
      <c r="P28" s="38">
        <f>D13</f>
        <v>0.0035</v>
      </c>
      <c r="Q28" s="34">
        <f>P28*(D46-O28)/O28</f>
        <v>0.0011666666666666668</v>
      </c>
      <c r="R28" s="34">
        <f>P28*(D43-O28)/O28</f>
        <v>-0.0030384615384615385</v>
      </c>
      <c r="S28" s="31">
        <f>0.85*D1</f>
        <v>13.228124999999999</v>
      </c>
      <c r="T28" s="31">
        <f>Q28*D31</f>
        <v>240.33333333333334</v>
      </c>
      <c r="U28" s="39">
        <f>MAX(R28*D31,-D5)</f>
        <v>-326.0869565217392</v>
      </c>
      <c r="V28" s="45">
        <f>(S28*D52*0.8*O28)-((D38*T28)+(D36*U28))</f>
        <v>1190081.956521739</v>
      </c>
      <c r="W28" s="45">
        <f>((S28*D52*0.8*O28)*((0.5*(D46+D40))-(0.4*O28)))+(((D38*T28)-(D36*U28))*0.5*(D46-D43))</f>
        <v>142272254.0695652</v>
      </c>
      <c r="X28" s="18">
        <f t="shared" si="0"/>
        <v>1190.0819565217391</v>
      </c>
      <c r="Y28" s="19">
        <f t="shared" si="1"/>
        <v>142.2722540695652</v>
      </c>
      <c r="Z28" s="103"/>
      <c r="AA28" s="103"/>
      <c r="AB28" s="102"/>
      <c r="AC28" s="9"/>
      <c r="AD28" s="9"/>
      <c r="AE28" s="9"/>
      <c r="AF28" s="9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</row>
    <row r="29" spans="1:44" ht="12.75">
      <c r="A29" s="177"/>
      <c r="B29" s="139"/>
      <c r="C29" s="165"/>
      <c r="D29" s="174"/>
      <c r="E29" s="100"/>
      <c r="F29" s="100"/>
      <c r="G29" s="99"/>
      <c r="H29" s="99"/>
      <c r="I29" s="99"/>
      <c r="J29" s="100"/>
      <c r="K29" s="100"/>
      <c r="M29" s="120"/>
      <c r="N29" s="8">
        <v>0.8</v>
      </c>
      <c r="O29" s="39">
        <f>N29*D46</f>
        <v>291.2</v>
      </c>
      <c r="P29" s="38">
        <f>D13</f>
        <v>0.0035</v>
      </c>
      <c r="Q29" s="34">
        <f>P29*(D46-O29)/O29</f>
        <v>0.0008750000000000001</v>
      </c>
      <c r="R29" s="34">
        <f>P29*(D43-O29)/O29</f>
        <v>-0.0030673076923076925</v>
      </c>
      <c r="S29" s="31">
        <f>0.85*D1</f>
        <v>13.228124999999999</v>
      </c>
      <c r="T29" s="31">
        <f>Q29*D31</f>
        <v>180.25000000000003</v>
      </c>
      <c r="U29" s="39">
        <f>MAX(R29*D31,-D5)</f>
        <v>-326.0869565217392</v>
      </c>
      <c r="V29" s="45">
        <f>(S29*D52*0.8*O29)-((D38*T29)+(D36*U29))</f>
        <v>1291276.0565217389</v>
      </c>
      <c r="W29" s="45">
        <f>((S29*D52*0.8*O29)*((0.5*(D46+D40))-(0.4*O29)))+(((D38*T29)-(D36*U29))*0.5*(D46-D43))</f>
        <v>136332677.4615652</v>
      </c>
      <c r="X29" s="18">
        <f t="shared" si="0"/>
        <v>1291.2760565217388</v>
      </c>
      <c r="Y29" s="19">
        <f t="shared" si="1"/>
        <v>136.3326774615652</v>
      </c>
      <c r="Z29" s="103"/>
      <c r="AA29" s="103"/>
      <c r="AB29" s="102"/>
      <c r="AC29" s="102"/>
      <c r="AD29" s="102"/>
      <c r="AE29" s="102"/>
      <c r="AF29" s="102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</row>
    <row r="30" spans="1:44" ht="12.75">
      <c r="A30" s="177"/>
      <c r="B30" s="156"/>
      <c r="C30" s="166"/>
      <c r="D30" s="175"/>
      <c r="E30" s="100"/>
      <c r="F30" s="100"/>
      <c r="G30" s="99"/>
      <c r="H30" s="99"/>
      <c r="I30" s="99"/>
      <c r="J30" s="100"/>
      <c r="K30" s="100"/>
      <c r="M30" s="120"/>
      <c r="N30" s="2">
        <v>0.85</v>
      </c>
      <c r="O30" s="39">
        <f>N30*D46</f>
        <v>309.4</v>
      </c>
      <c r="P30" s="38">
        <f>D13</f>
        <v>0.0035</v>
      </c>
      <c r="Q30" s="34">
        <f>P30*(D46-O30)/O30</f>
        <v>0.0006176470588235297</v>
      </c>
      <c r="R30" s="34">
        <f>P30*(D43-O30)/O30</f>
        <v>-0.003092760180995475</v>
      </c>
      <c r="S30" s="31">
        <f>0.85*D1</f>
        <v>13.228124999999999</v>
      </c>
      <c r="T30" s="31">
        <f>Q30*D31</f>
        <v>127.23529411764713</v>
      </c>
      <c r="U30" s="39">
        <f>MAX(R30*D31,-D5)</f>
        <v>-326.0869565217392</v>
      </c>
      <c r="V30" s="45">
        <f>(S30*D52*0.8*O30)-((D38*T30)+(D36*U30))</f>
        <v>1389628.5682864448</v>
      </c>
      <c r="W30" s="45">
        <f>((S30*D52*0.8*O30)*((0.5*(D46+D40))-(0.4*O30)))+(((D38*T30)-(D36*U30))*0.5*(D46-D43))</f>
        <v>129737410.18815345</v>
      </c>
      <c r="X30" s="18">
        <f t="shared" si="0"/>
        <v>1389.6285682864448</v>
      </c>
      <c r="Y30" s="19">
        <f t="shared" si="1"/>
        <v>129.73741018815343</v>
      </c>
      <c r="Z30" s="103"/>
      <c r="AA30" s="103"/>
      <c r="AB30" s="102"/>
      <c r="AC30" s="102"/>
      <c r="AD30" s="102"/>
      <c r="AE30" s="102"/>
      <c r="AF30" s="102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</row>
    <row r="31" spans="1:44" ht="12.75">
      <c r="A31" s="177"/>
      <c r="B31" s="138" t="s">
        <v>17</v>
      </c>
      <c r="C31" s="197" t="s">
        <v>30</v>
      </c>
      <c r="D31" s="162">
        <v>206000</v>
      </c>
      <c r="E31" s="99"/>
      <c r="F31" s="99"/>
      <c r="G31" s="99"/>
      <c r="H31" s="99"/>
      <c r="I31" s="99"/>
      <c r="J31" s="99"/>
      <c r="K31" s="99"/>
      <c r="M31" s="120"/>
      <c r="N31" s="8">
        <v>0.9</v>
      </c>
      <c r="O31" s="39">
        <f>N31*D46</f>
        <v>327.6</v>
      </c>
      <c r="P31" s="38">
        <f>D13</f>
        <v>0.0035</v>
      </c>
      <c r="Q31" s="34">
        <f>P31*(D46-O31)/O31</f>
        <v>0.00038888888888888865</v>
      </c>
      <c r="R31" s="34">
        <f>P31*(D43-O31)/O31</f>
        <v>-0.0031153846153846158</v>
      </c>
      <c r="S31" s="31">
        <f>0.85*D1</f>
        <v>13.228124999999999</v>
      </c>
      <c r="T31" s="31">
        <f>Q31*D31</f>
        <v>80.11111111111106</v>
      </c>
      <c r="U31" s="39">
        <f>MAX(R31*D31,-D5)</f>
        <v>-326.0869565217392</v>
      </c>
      <c r="V31" s="45">
        <f>(S31*D52*0.8*O31)-((D38*T31)+(D36*U31))</f>
        <v>1485613.0898550723</v>
      </c>
      <c r="W31" s="45">
        <f>((S31*D52*0.8*O31)*((0.5*(D46+D40))-(0.4*O31)))+(((D38*T31)-(D36*U31))*0.5*(D46-D43))</f>
        <v>122408782.17089853</v>
      </c>
      <c r="X31" s="18">
        <f t="shared" si="0"/>
        <v>1485.6130898550723</v>
      </c>
      <c r="Y31" s="19">
        <f t="shared" si="1"/>
        <v>122.40878217089853</v>
      </c>
      <c r="Z31" s="103"/>
      <c r="AA31" s="103"/>
      <c r="AB31" s="102"/>
      <c r="AC31" s="102"/>
      <c r="AD31" s="102"/>
      <c r="AE31" s="102"/>
      <c r="AF31" s="102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</row>
    <row r="32" spans="1:44" ht="12.75">
      <c r="A32" s="177"/>
      <c r="B32" s="139"/>
      <c r="C32" s="198"/>
      <c r="D32" s="182"/>
      <c r="E32" s="99"/>
      <c r="F32" s="99"/>
      <c r="G32" s="99"/>
      <c r="H32" s="99"/>
      <c r="I32" s="99"/>
      <c r="J32" s="99"/>
      <c r="K32" s="99"/>
      <c r="M32" s="120"/>
      <c r="N32" s="2">
        <v>0.95</v>
      </c>
      <c r="O32" s="39">
        <f>N32*D46</f>
        <v>345.8</v>
      </c>
      <c r="P32" s="38">
        <f>D13</f>
        <v>0.0035</v>
      </c>
      <c r="Q32" s="34">
        <f>P32*(D46-O32)/O32</f>
        <v>0.00018421052631578937</v>
      </c>
      <c r="R32" s="34">
        <f>P32*(D43-O32)/O32</f>
        <v>-0.0031356275303643724</v>
      </c>
      <c r="S32" s="31">
        <f>0.85*D1</f>
        <v>13.228124999999999</v>
      </c>
      <c r="T32" s="31">
        <f>Q32*D31</f>
        <v>37.94736842105261</v>
      </c>
      <c r="U32" s="39">
        <f>MAX(R32*D31,-D5)</f>
        <v>-326.0869565217392</v>
      </c>
      <c r="V32" s="45">
        <f>(S32*D52*0.8*O32)-((D38*T32)+(D36*U32))</f>
        <v>1579603.5144164758</v>
      </c>
      <c r="W32" s="45">
        <f>((S32*D52*0.8*O32)*((0.5*(D46+D40))-(0.4*O32)))+(((D38*T32)-(D36*U32))*0.5*(D46-D43))</f>
        <v>114285474.92682832</v>
      </c>
      <c r="X32" s="18">
        <f t="shared" si="0"/>
        <v>1579.6035144164757</v>
      </c>
      <c r="Y32" s="19">
        <f t="shared" si="1"/>
        <v>114.28547492682833</v>
      </c>
      <c r="Z32" s="103"/>
      <c r="AA32" s="102"/>
      <c r="AB32" s="102"/>
      <c r="AC32" s="102"/>
      <c r="AD32" s="102"/>
      <c r="AE32" s="102"/>
      <c r="AF32" s="102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</row>
    <row r="33" spans="1:44" ht="12.75">
      <c r="A33" s="177"/>
      <c r="B33" s="139"/>
      <c r="C33" s="198"/>
      <c r="D33" s="182"/>
      <c r="E33" s="99"/>
      <c r="F33" s="99"/>
      <c r="G33" s="99"/>
      <c r="H33" s="99"/>
      <c r="I33" s="99"/>
      <c r="J33" s="99"/>
      <c r="K33" s="99"/>
      <c r="M33" s="11"/>
      <c r="N33" s="12">
        <f>O33/D46</f>
        <v>1</v>
      </c>
      <c r="O33" s="15">
        <f>D46</f>
        <v>364</v>
      </c>
      <c r="P33" s="46">
        <f>D13</f>
        <v>0.0035</v>
      </c>
      <c r="Q33" s="62">
        <f>P33*(D46-O33)/O33</f>
        <v>0</v>
      </c>
      <c r="R33" s="35">
        <f>P33*(D43-O33)/O33</f>
        <v>-0.003153846153846154</v>
      </c>
      <c r="S33" s="15">
        <f>0.85*D1</f>
        <v>13.228124999999999</v>
      </c>
      <c r="T33" s="15">
        <f>Q33*D31</f>
        <v>0</v>
      </c>
      <c r="U33" s="15">
        <f>MAX(R33*D31,-D5)</f>
        <v>-326.0869565217392</v>
      </c>
      <c r="V33" s="37">
        <f>(S33*D52*(MIN(D49,0.8*O33))-((D38*T33)+(D36*U33)))</f>
        <v>1671898.956521739</v>
      </c>
      <c r="W33" s="37">
        <f>((S33*D52*(MIN(D49,0.8*O33))*((0.5*(D46+D40))-(MIN(D49/2,0.4*O33)))+(((D38*T33)-(D36*U33))*0.5*(D46-D43))))</f>
        <v>105318433.66956522</v>
      </c>
      <c r="X33" s="20">
        <f t="shared" si="0"/>
        <v>1671.898956521739</v>
      </c>
      <c r="Y33" s="21">
        <f t="shared" si="1"/>
        <v>105.31843366956521</v>
      </c>
      <c r="Z33" s="103"/>
      <c r="AA33" s="103"/>
      <c r="AB33" s="102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</row>
    <row r="34" spans="1:44" ht="12.75">
      <c r="A34" s="177"/>
      <c r="B34" s="139"/>
      <c r="C34" s="198"/>
      <c r="D34" s="182"/>
      <c r="E34" s="99"/>
      <c r="F34" s="99"/>
      <c r="G34" s="99"/>
      <c r="H34" s="99"/>
      <c r="I34" s="99"/>
      <c r="J34" s="99"/>
      <c r="K34" s="99"/>
      <c r="M34" s="10">
        <v>5</v>
      </c>
      <c r="N34" s="2">
        <v>1.05</v>
      </c>
      <c r="O34" s="31">
        <f>N34*D46</f>
        <v>382.2</v>
      </c>
      <c r="P34" s="47">
        <f>D13</f>
        <v>0.0035</v>
      </c>
      <c r="Q34" s="48">
        <f>P34*(D46-O34)/O34</f>
        <v>-0.00016666666666666658</v>
      </c>
      <c r="R34" s="48">
        <f>P34*(D43-O34)/O34</f>
        <v>-0.0031703296703296706</v>
      </c>
      <c r="S34" s="39">
        <f>0.85*D1</f>
        <v>13.228124999999999</v>
      </c>
      <c r="T34" s="39">
        <f>Q34*D31</f>
        <v>-34.333333333333314</v>
      </c>
      <c r="U34" s="39">
        <f>MAX(R34*D31,-D5)</f>
        <v>-326.0869565217392</v>
      </c>
      <c r="V34" s="45">
        <f>(S34*D52*(MIN(D49,0.8*O34))-((D38*T34)+(D36*U34)))</f>
        <v>1762741.5565217389</v>
      </c>
      <c r="W34" s="45">
        <f>((S34*D52*(MIN(D49,0.8*O34))*((0.5*(D46+D40))-(MIN(D49/2,0.4*O34)))+(((D38*T34)-(D36*U34))*0.5*(D46-D43))))</f>
        <v>95467947.38156521</v>
      </c>
      <c r="X34" s="18">
        <f t="shared" si="0"/>
        <v>1762.7415565217389</v>
      </c>
      <c r="Y34" s="19">
        <f t="shared" si="1"/>
        <v>95.46794738156521</v>
      </c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</row>
    <row r="35" spans="1:44" ht="13.5" thickBot="1">
      <c r="A35" s="178"/>
      <c r="B35" s="140"/>
      <c r="C35" s="199"/>
      <c r="D35" s="183"/>
      <c r="E35" s="99"/>
      <c r="F35" s="99"/>
      <c r="G35" s="99"/>
      <c r="H35" s="99"/>
      <c r="I35" s="99"/>
      <c r="J35" s="99"/>
      <c r="K35" s="99"/>
      <c r="M35" s="11"/>
      <c r="N35" s="14">
        <f>O35/D46</f>
        <v>1.098901098901099</v>
      </c>
      <c r="O35" s="15">
        <f>D49</f>
        <v>400</v>
      </c>
      <c r="P35" s="81">
        <f>D13</f>
        <v>0.0035</v>
      </c>
      <c r="Q35" s="35">
        <f>P35*(D46-O35)/O35</f>
        <v>-0.000315</v>
      </c>
      <c r="R35" s="35">
        <f>P35*(D43-O35)/O35</f>
        <v>-0.003185</v>
      </c>
      <c r="S35" s="15">
        <f>0.85*D1</f>
        <v>13.228124999999999</v>
      </c>
      <c r="T35" s="15">
        <f>Q35*D31</f>
        <v>-64.89</v>
      </c>
      <c r="U35" s="15">
        <f>MAX(R35*D31,-D5)</f>
        <v>-326.0869565217392</v>
      </c>
      <c r="V35" s="37">
        <f>(S35*D52*(MIN(D49,0.8*O35))-((D38*T35)+(D36*U35)))</f>
        <v>1850372.736521739</v>
      </c>
      <c r="W35" s="37">
        <f>((S35*D52*(MIN(D49,0.8*O35))*((0.5*(D46+D40))-(MIN(D49/2,0.4*O35)))+(((D38*T35)-(D36*U35))*0.5*(D46-D43))))</f>
        <v>84948192.9495652</v>
      </c>
      <c r="X35" s="20">
        <f t="shared" si="0"/>
        <v>1850.372736521739</v>
      </c>
      <c r="Y35" s="21">
        <f t="shared" si="1"/>
        <v>84.9481929495652</v>
      </c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</row>
    <row r="36" spans="1:44" ht="12.75">
      <c r="A36" s="176" t="s">
        <v>6</v>
      </c>
      <c r="B36" s="143" t="s">
        <v>31</v>
      </c>
      <c r="C36" s="143" t="s">
        <v>18</v>
      </c>
      <c r="D36" s="193">
        <v>402</v>
      </c>
      <c r="E36" s="99"/>
      <c r="F36" s="99"/>
      <c r="G36" s="99"/>
      <c r="H36" s="99"/>
      <c r="I36" s="99"/>
      <c r="J36" s="99"/>
      <c r="K36" s="99"/>
      <c r="M36" s="120">
        <v>6</v>
      </c>
      <c r="N36" s="8">
        <v>1.1</v>
      </c>
      <c r="O36" s="71">
        <f>N36*D46</f>
        <v>400.40000000000003</v>
      </c>
      <c r="P36" s="34">
        <f>D16*O36/(O36-((3/7)*D49))</f>
        <v>0.0034973795857249808</v>
      </c>
      <c r="Q36" s="34">
        <f>-(D16-((D46-((3/7)*D49))*(P36-D16)/((3/7)*D49)))</f>
        <v>-0.00031794359870227135</v>
      </c>
      <c r="R36" s="34">
        <f>-(((P36-D16)*(((3/7)*D49)-D43)/((3/7)*D49))+D16)</f>
        <v>-0.0031829298727227345</v>
      </c>
      <c r="S36" s="39">
        <f>0.85*D1</f>
        <v>13.228124999999999</v>
      </c>
      <c r="T36" s="31">
        <f>MAX(Q36*D31,-D8)</f>
        <v>-65.4963813326679</v>
      </c>
      <c r="U36" s="39">
        <f>MAX(R36*D31,-D5)</f>
        <v>-326.0869565217392</v>
      </c>
      <c r="V36" s="45">
        <f>(S36*D52*(MIN(D49,0.8*O36))-((D38*T36)+(D36*U36)))</f>
        <v>1852309.7018174715</v>
      </c>
      <c r="W36" s="45">
        <f>((S36*D52*(MIN(D49,0.8*O36))*((0.5*(D46+D40))-(MIN(D49/2,0.4*O36)))+(((D38*T36)-(D36*U36))*0.5*(D46-D43))))</f>
        <v>84704760.52906504</v>
      </c>
      <c r="X36" s="18">
        <f t="shared" si="0"/>
        <v>1852.3097018174715</v>
      </c>
      <c r="Y36" s="19">
        <f t="shared" si="1"/>
        <v>84.70476052906504</v>
      </c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</row>
    <row r="37" spans="1:44" ht="12.75">
      <c r="A37" s="187"/>
      <c r="B37" s="158"/>
      <c r="C37" s="144"/>
      <c r="D37" s="191"/>
      <c r="E37" s="99"/>
      <c r="F37" s="99"/>
      <c r="G37" s="99"/>
      <c r="H37" s="99"/>
      <c r="I37" s="99"/>
      <c r="J37" s="99"/>
      <c r="K37" s="99"/>
      <c r="M37" s="120"/>
      <c r="N37" s="8">
        <v>1.2</v>
      </c>
      <c r="O37" s="71">
        <f>N37*D46</f>
        <v>436.8</v>
      </c>
      <c r="P37" s="34">
        <f>D16*O37/(O37-((3/7)*D49))</f>
        <v>0.003291989664082687</v>
      </c>
      <c r="Q37" s="34">
        <f>-(D16-((D46-((3/7)*D49))*(P37-D16)/((3/7)*D49)))</f>
        <v>-0.0005486649440137818</v>
      </c>
      <c r="R37" s="34">
        <f>-(((P37-D16)*(((3/7)*D49)-D43)/((3/7)*D49))+D16)</f>
        <v>-0.003020671834625323</v>
      </c>
      <c r="S37" s="39">
        <f>0.85*D1</f>
        <v>13.228124999999999</v>
      </c>
      <c r="T37" s="31">
        <f>MAX(Q37*D31,-D8)</f>
        <v>-113.02497846683904</v>
      </c>
      <c r="U37" s="39">
        <f>MAX(R37*D31,-D5)</f>
        <v>-326.0869565217392</v>
      </c>
      <c r="V37" s="45">
        <f>(S37*D52*(MIN(D49,0.8*O37))-((D38*T37)+(D36*U37)))</f>
        <v>2025497.3978654083</v>
      </c>
      <c r="W37" s="45">
        <f>((S37*D52*(MIN(D49,0.8*O37))*((0.5*(D46+D40))-(MIN(D49/2,0.4*O37)))+(((D38*T37)-(D36*U37))*0.5*(D46-D43))))</f>
        <v>60788822.92120341</v>
      </c>
      <c r="X37" s="18">
        <f t="shared" si="0"/>
        <v>2025.4973978654084</v>
      </c>
      <c r="Y37" s="19">
        <f t="shared" si="1"/>
        <v>60.78882292120341</v>
      </c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</row>
    <row r="38" spans="1:44" ht="12.75">
      <c r="A38" s="187"/>
      <c r="B38" s="158"/>
      <c r="C38" s="158" t="s">
        <v>2</v>
      </c>
      <c r="D38" s="182">
        <v>402</v>
      </c>
      <c r="E38" s="99"/>
      <c r="F38" s="99"/>
      <c r="G38" s="99"/>
      <c r="H38" s="99"/>
      <c r="I38" s="99"/>
      <c r="J38" s="99"/>
      <c r="K38" s="99"/>
      <c r="M38" s="120"/>
      <c r="N38" s="8">
        <v>1.3</v>
      </c>
      <c r="O38" s="71">
        <f>N38*D46</f>
        <v>473.2</v>
      </c>
      <c r="P38" s="34">
        <f>D16*O38/(O38-((3/7)*D49))</f>
        <v>0.0031361484567316794</v>
      </c>
      <c r="Q38" s="34">
        <f>-(D16-((D46-((3/7)*D49))*(P38-D16)/((3/7)*D49)))</f>
        <v>-0.0007237265669380801</v>
      </c>
      <c r="R38" s="34">
        <f>-(((P38-D16)*(((3/7)*D49)-D43)/((3/7)*D49))+D16)</f>
        <v>-0.0028975572808180266</v>
      </c>
      <c r="S38" s="39">
        <f>0.85*D1</f>
        <v>13.228124999999999</v>
      </c>
      <c r="T38" s="31">
        <f>MAX(Q38*D31,-D8)</f>
        <v>-149.0876727892445</v>
      </c>
      <c r="U38" s="39">
        <f>MAX(R38*D31,-D5)</f>
        <v>-326.0869565217392</v>
      </c>
      <c r="V38" s="45">
        <f>(S38*D52*(MIN(D49,0.8*O38))-((D38*T38)+(D36*U38)))</f>
        <v>2194075.800983015</v>
      </c>
      <c r="W38" s="45">
        <f>((S38*D52*(MIN(D49,0.8*O38))*((0.5*(D46+D40))-(MIN(D49/2,0.4*O38)))+(((D38*T38)-(D36*U38))*0.5*(D46-D43))))</f>
        <v>33141964.809915908</v>
      </c>
      <c r="X38" s="18">
        <f t="shared" si="0"/>
        <v>2194.075800983015</v>
      </c>
      <c r="Y38" s="19">
        <f t="shared" si="1"/>
        <v>33.141964809915905</v>
      </c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</row>
    <row r="39" spans="1:44" ht="13.5" thickBot="1">
      <c r="A39" s="187"/>
      <c r="B39" s="194"/>
      <c r="C39" s="194"/>
      <c r="D39" s="163"/>
      <c r="E39" s="99"/>
      <c r="F39" s="99"/>
      <c r="G39" s="99"/>
      <c r="H39" s="99"/>
      <c r="I39" s="99"/>
      <c r="J39" s="99"/>
      <c r="K39" s="99"/>
      <c r="M39" s="120"/>
      <c r="N39" s="49">
        <f>O39/D46</f>
        <v>1.3736263736263736</v>
      </c>
      <c r="O39" s="111">
        <f>D49/0.8</f>
        <v>500</v>
      </c>
      <c r="P39" s="40">
        <f>D16*O39/(O39-((3/7)*D49))</f>
        <v>0.003043478260869565</v>
      </c>
      <c r="Q39" s="40">
        <f>-(D16-((D46-((3/7)*D49))*(P39-D16)/((3/7)*D49)))</f>
        <v>-0.0008278260869565217</v>
      </c>
      <c r="R39" s="40">
        <f>-(((P39-D16)*(((3/7)*D49)-D43)/((3/7)*D49))+D16)</f>
        <v>-0.0028243478260869563</v>
      </c>
      <c r="S39" s="41">
        <f>0.85*D1</f>
        <v>13.228124999999999</v>
      </c>
      <c r="T39" s="41">
        <f>MAX(Q39*D31,-D8)</f>
        <v>-170.53217391304347</v>
      </c>
      <c r="U39" s="41">
        <f>MAX(R39*D31,-D5)</f>
        <v>-326.0869565217392</v>
      </c>
      <c r="V39" s="42">
        <f>(S39*D52*(MIN(D49,0.8*O39))-((D38*T39)+(D36*U39)))</f>
        <v>2316140.890434782</v>
      </c>
      <c r="W39" s="42">
        <f>((S39*D52*(MIN(D49,0.8*O39))*((0.5*(D46+D40))-(MIN(D49/2,0.4*O39)))+(((D38*T39)-(D36*U39))*0.5*(D46-D43))))</f>
        <v>10255415.707826095</v>
      </c>
      <c r="X39" s="43">
        <f t="shared" si="0"/>
        <v>2316.140890434782</v>
      </c>
      <c r="Y39" s="44">
        <f t="shared" si="1"/>
        <v>10.255415707826094</v>
      </c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</row>
    <row r="40" spans="1:44" ht="13.5" thickTop="1">
      <c r="A40" s="187"/>
      <c r="B40" s="153" t="s">
        <v>11</v>
      </c>
      <c r="C40" s="153" t="s">
        <v>32</v>
      </c>
      <c r="D40" s="192">
        <v>36</v>
      </c>
      <c r="E40" s="99"/>
      <c r="F40" s="99"/>
      <c r="G40" s="99"/>
      <c r="H40" s="99"/>
      <c r="I40" s="99"/>
      <c r="J40" s="99"/>
      <c r="K40" s="99"/>
      <c r="M40" s="120"/>
      <c r="N40" s="8">
        <v>1.5</v>
      </c>
      <c r="O40" s="71">
        <f>N40*D46</f>
        <v>546</v>
      </c>
      <c r="P40" s="34">
        <f>D16*O40/(O40-((3/7)*D49))</f>
        <v>0.0029153318077803207</v>
      </c>
      <c r="Q40" s="34">
        <f>-(D16-((D46-((3/7)*D49))*(P40-D16)/((3/7)*D49)))</f>
        <v>-0.0009717772692601065</v>
      </c>
      <c r="R40" s="34">
        <f>-(((P40-D16)*(((3/7)*D49)-D43)/((3/7)*D49))+D16)</f>
        <v>-0.0027231121281464533</v>
      </c>
      <c r="S40" s="39">
        <f>0.85*D1</f>
        <v>13.228124999999999</v>
      </c>
      <c r="T40" s="31">
        <f>MAX(Q40*D31,-D8)</f>
        <v>-200.18611746758194</v>
      </c>
      <c r="U40" s="39">
        <f>MAX(R40*D31,-D5)</f>
        <v>-326.0869565217392</v>
      </c>
      <c r="V40" s="45">
        <f>(S40*D52*(MIN(D49,0.8*O40))-((D38*T40)+(D36*U40)))</f>
        <v>2328061.7757437066</v>
      </c>
      <c r="W40" s="45">
        <f>((S40*D52*(MIN(D49,0.8*O40))*((0.5*(D46+D40))-(MIN(D49/2,0.4*O40)))+(((D38*T40)-(D36*U40))*0.5*(D46-D43))))</f>
        <v>8300390.517162482</v>
      </c>
      <c r="X40" s="18">
        <f t="shared" si="0"/>
        <v>2328.0617757437067</v>
      </c>
      <c r="Y40" s="19">
        <f t="shared" si="1"/>
        <v>8.300390517162482</v>
      </c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12.75">
      <c r="A41" s="187"/>
      <c r="B41" s="154"/>
      <c r="C41" s="139"/>
      <c r="D41" s="182"/>
      <c r="E41" s="99"/>
      <c r="F41" s="99"/>
      <c r="G41" s="99"/>
      <c r="H41" s="99"/>
      <c r="I41" s="99"/>
      <c r="J41" s="99"/>
      <c r="K41" s="99"/>
      <c r="M41" s="120"/>
      <c r="N41" s="9">
        <v>2.5</v>
      </c>
      <c r="O41" s="71">
        <f>N41*D46</f>
        <v>910</v>
      </c>
      <c r="P41" s="34">
        <f>D16*O41/(O41-((3/7)*D49))</f>
        <v>0.0024642166344294005</v>
      </c>
      <c r="Q41" s="34">
        <f>-(D16-((D46-((3/7)*D49))*(P41-D16)/((3/7)*D49)))</f>
        <v>-0.0014785299806576403</v>
      </c>
      <c r="R41" s="34">
        <f>-(((P41-D16)*(((3/7)*D49)-D43)/((3/7)*D49))+D16)</f>
        <v>-0.0023667311411992263</v>
      </c>
      <c r="S41" s="39">
        <f>0.85*D1</f>
        <v>13.228124999999999</v>
      </c>
      <c r="T41" s="31">
        <f>MAX(Q41*D31,-D8)</f>
        <v>-304.5771760154739</v>
      </c>
      <c r="U41" s="39">
        <f>MAX(R41*D31,-D5)</f>
        <v>-326.0869565217392</v>
      </c>
      <c r="V41" s="45">
        <f>(S41*D52*(MIN(D49,0.8*O41))-((D38*T41)+(D36*U41)))</f>
        <v>2370026.981279959</v>
      </c>
      <c r="W41" s="45">
        <f>((S41*D52*(MIN(D49,0.8*O41))*((0.5*(D46+D40))-(MIN(D49/2,0.4*O41)))+(((D38*T41)-(D36*U41))*0.5*(D46-D43))))</f>
        <v>1418096.809217058</v>
      </c>
      <c r="X41" s="18">
        <f t="shared" si="0"/>
        <v>2370.026981279959</v>
      </c>
      <c r="Y41" s="19">
        <f t="shared" si="1"/>
        <v>1.4180968092170578</v>
      </c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2.75">
      <c r="A42" s="187"/>
      <c r="B42" s="154"/>
      <c r="C42" s="156"/>
      <c r="D42" s="191"/>
      <c r="E42" s="99"/>
      <c r="F42" s="99"/>
      <c r="G42" s="25"/>
      <c r="H42" s="25"/>
      <c r="I42" s="25"/>
      <c r="J42" s="99"/>
      <c r="K42" s="99"/>
      <c r="M42" s="120"/>
      <c r="N42" s="9">
        <v>3</v>
      </c>
      <c r="O42" s="71">
        <f>N42*D46</f>
        <v>1092</v>
      </c>
      <c r="P42" s="34">
        <f>D16*O42/(O42-((3/7)*D49))</f>
        <v>0.00237243947858473</v>
      </c>
      <c r="Q42" s="34">
        <f>-(D16-((D46-((3/7)*D49))*(P42-D16)/((3/7)*D49)))</f>
        <v>-0.0015816263190564866</v>
      </c>
      <c r="R42" s="34">
        <f>-(((P42-D16)*(((3/7)*D49)-D43)/((3/7)*D49))+D16)</f>
        <v>-0.0022942271880819366</v>
      </c>
      <c r="S42" s="39">
        <f>0.85*D1</f>
        <v>13.228124999999999</v>
      </c>
      <c r="T42" s="31">
        <f>MAX(Q42*D31,-D8)</f>
        <v>-325.81502172563626</v>
      </c>
      <c r="U42" s="39">
        <f>MAX(R42*D31,-D5)</f>
        <v>-326.0869565217392</v>
      </c>
      <c r="V42" s="45">
        <f>(S42*D52*(MIN(D49,0.8*O42))-((D38*T42)+(D36*U42)))</f>
        <v>2378564.5952554443</v>
      </c>
      <c r="W42" s="45">
        <f>((S42*D52*(MIN(D49,0.8*O42))*((0.5*(D46+D40))-(MIN(D49/2,0.4*O42)))+(((D38*T42)-(D36*U42))*0.5*(D46-D43))))</f>
        <v>17928.11723747471</v>
      </c>
      <c r="X42" s="18">
        <f t="shared" si="0"/>
        <v>2378.564595255444</v>
      </c>
      <c r="Y42" s="19">
        <f t="shared" si="1"/>
        <v>0.01792811723747471</v>
      </c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</row>
    <row r="43" spans="1:25" ht="12.75">
      <c r="A43" s="187"/>
      <c r="B43" s="154"/>
      <c r="C43" s="138" t="s">
        <v>4</v>
      </c>
      <c r="D43" s="162">
        <v>36</v>
      </c>
      <c r="E43" s="99"/>
      <c r="F43" s="99"/>
      <c r="G43" s="25"/>
      <c r="H43" s="25"/>
      <c r="I43" s="25"/>
      <c r="J43" s="99"/>
      <c r="K43" s="99"/>
      <c r="M43" s="120"/>
      <c r="N43" s="51">
        <f>O43/D46</f>
        <v>3.008005008294193</v>
      </c>
      <c r="O43" s="71">
        <f>(P43*(3/7)*D49)/(P43-D16)</f>
        <v>1094.9138230190863</v>
      </c>
      <c r="P43" s="34">
        <f>((-Q43*(3/7)*D49)-(D16*D46))/((3/7)*D49-D46)</f>
        <v>0.002371264340460924</v>
      </c>
      <c r="Q43" s="61">
        <f>-D28</f>
        <v>-0.001582946390882229</v>
      </c>
      <c r="R43" s="34">
        <f>-(((P43-D16)*((3/7)*D49-D43))/((3/7)*D49)+D16)</f>
        <v>-0.00229329882896413</v>
      </c>
      <c r="S43" s="39">
        <f>0.85*D1</f>
        <v>13.228124999999999</v>
      </c>
      <c r="T43" s="31">
        <f>MAX(Q43*D31,-D8)</f>
        <v>-326.0869565217392</v>
      </c>
      <c r="U43" s="39">
        <f>MAX(R43*D31,-D5)</f>
        <v>-326.0869565217392</v>
      </c>
      <c r="V43" s="45">
        <f>(S43*D52*(MIN(D49,0.8*O43))-((D38*T43)+(D36*U43)))</f>
        <v>2378673.913043478</v>
      </c>
      <c r="W43" s="45">
        <f>((S43*D52*(MIN(D49,0.8*O43))*((0.5*(D46+D40))-(MIN(D49/2,0.4*O43)))+(((D38*T43)-(D36*U43))*0.5*(D46-D43))))</f>
        <v>0</v>
      </c>
      <c r="X43" s="18">
        <f>V43/1000</f>
        <v>2378.673913043478</v>
      </c>
      <c r="Y43" s="19">
        <f>W43/POWER(1000,2)</f>
        <v>0</v>
      </c>
    </row>
    <row r="44" spans="1:25" ht="12.75">
      <c r="A44" s="187"/>
      <c r="B44" s="154"/>
      <c r="C44" s="154"/>
      <c r="D44" s="189"/>
      <c r="E44" s="25"/>
      <c r="F44" s="25"/>
      <c r="G44" s="99"/>
      <c r="H44" s="99"/>
      <c r="I44" s="99"/>
      <c r="J44" s="25"/>
      <c r="K44" s="25"/>
      <c r="M44" s="120"/>
      <c r="N44" s="9">
        <v>3.5</v>
      </c>
      <c r="O44" s="71">
        <f>N44*D46</f>
        <v>1274</v>
      </c>
      <c r="P44" s="34">
        <f>D16*O44/(O44-((3/7)*D49))</f>
        <v>0.0023109613889608707</v>
      </c>
      <c r="Q44" s="34">
        <f>-(D16-((D46-((3/7)*D49))*(P44-D16)/((3/7)*D49)))</f>
        <v>-0.001650686706400622</v>
      </c>
      <c r="R44" s="34">
        <f>-(((P44-D16)*(((3/7)*D49)-D43)/((3/7)*D49))+D16)</f>
        <v>-0.002245659497279088</v>
      </c>
      <c r="S44" s="39">
        <f>0.85*D1</f>
        <v>13.228124999999999</v>
      </c>
      <c r="T44" s="31">
        <f>MAX(Q44*D31,-D8)</f>
        <v>-326.0869565217392</v>
      </c>
      <c r="U44" s="39">
        <f>MAX(R44*D31,-D5)</f>
        <v>-326.0869565217392</v>
      </c>
      <c r="V44" s="45">
        <f>(S44*D52*(MIN(D49,0.8*O44))-((D38*T44)+(D36*U44)))</f>
        <v>2378673.913043478</v>
      </c>
      <c r="W44" s="45">
        <f>((S44*D52*(MIN(D49,0.8*O44))*((0.5*(D46+D40))-(MIN(D49/2,0.4*O44)))+(((D38*T44)-(D36*U44))*0.5*(D46-D43))))</f>
        <v>0</v>
      </c>
      <c r="X44" s="18">
        <f t="shared" si="0"/>
        <v>2378.673913043478</v>
      </c>
      <c r="Y44" s="19">
        <f t="shared" si="1"/>
        <v>0</v>
      </c>
    </row>
    <row r="45" spans="1:25" ht="13.5" thickBot="1">
      <c r="A45" s="187"/>
      <c r="B45" s="154"/>
      <c r="C45" s="157"/>
      <c r="D45" s="190"/>
      <c r="E45" s="25"/>
      <c r="F45" s="25"/>
      <c r="G45" s="99"/>
      <c r="H45" s="99"/>
      <c r="I45" s="99"/>
      <c r="J45" s="25"/>
      <c r="K45" s="25"/>
      <c r="M45" s="73"/>
      <c r="N45" s="74">
        <f>O45/D49</f>
        <v>2499.9975</v>
      </c>
      <c r="O45" s="75">
        <v>999999</v>
      </c>
      <c r="P45" s="117">
        <f>D16*O45/(O45-((3/7)*D49))</f>
        <v>0.00200034291627142</v>
      </c>
      <c r="Q45" s="115">
        <f>-P45</f>
        <v>-0.00200034291627142</v>
      </c>
      <c r="R45" s="116">
        <f>Q45</f>
        <v>-0.00200034291627142</v>
      </c>
      <c r="S45" s="77">
        <f>0.85*D1</f>
        <v>13.228124999999999</v>
      </c>
      <c r="T45" s="77">
        <f>MAX(Q45*D31,-D8)</f>
        <v>-326.0869565217392</v>
      </c>
      <c r="U45" s="77">
        <f>MAX(R45*D31,-D8)</f>
        <v>-326.0869565217392</v>
      </c>
      <c r="V45" s="78">
        <f>(S45*D52*(MIN(D49,0.8*O45))-((D38*T45)+(D36*U45)))</f>
        <v>2378673.913043478</v>
      </c>
      <c r="W45" s="78">
        <f>((S45*D52*(MIN(D49,0.8*O45))*((0.5*(D46+D40))-(MIN(D49/2,0.4*O45)))+(((D38*T45)-(D36*U45))*0.5*(D46-D43))))</f>
        <v>0</v>
      </c>
      <c r="X45" s="79">
        <f t="shared" si="0"/>
        <v>2378.673913043478</v>
      </c>
      <c r="Y45" s="80">
        <f t="shared" si="1"/>
        <v>0</v>
      </c>
    </row>
    <row r="46" spans="1:25" ht="12.75">
      <c r="A46" s="187"/>
      <c r="B46" s="154"/>
      <c r="C46" s="158" t="s">
        <v>3</v>
      </c>
      <c r="D46" s="182">
        <f>D49-D40</f>
        <v>364</v>
      </c>
      <c r="E46" s="99"/>
      <c r="F46" s="99"/>
      <c r="G46" s="99"/>
      <c r="H46" s="99"/>
      <c r="I46" s="99"/>
      <c r="J46" s="99"/>
      <c r="K46" s="99"/>
      <c r="M46" s="22"/>
      <c r="Y46" s="9"/>
    </row>
    <row r="47" spans="1:25" ht="12.75">
      <c r="A47" s="187"/>
      <c r="B47" s="154"/>
      <c r="C47" s="158"/>
      <c r="D47" s="182"/>
      <c r="E47" s="99"/>
      <c r="F47" s="99"/>
      <c r="G47" s="99"/>
      <c r="H47" s="99"/>
      <c r="I47" s="99"/>
      <c r="J47" s="99"/>
      <c r="K47" s="99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9"/>
    </row>
    <row r="48" spans="1:25" ht="13.5" thickBot="1">
      <c r="A48" s="187"/>
      <c r="B48" s="154"/>
      <c r="C48" s="158"/>
      <c r="D48" s="182"/>
      <c r="E48" s="99"/>
      <c r="F48" s="99"/>
      <c r="G48" s="99"/>
      <c r="H48" s="99"/>
      <c r="I48" s="99"/>
      <c r="J48" s="99"/>
      <c r="K48" s="99"/>
      <c r="M48" s="119" t="s">
        <v>44</v>
      </c>
      <c r="N48" s="119"/>
      <c r="O48" s="119"/>
      <c r="P48" s="119"/>
      <c r="Q48" s="119"/>
      <c r="R48" s="119"/>
      <c r="S48" s="25"/>
      <c r="T48" s="25"/>
      <c r="U48" s="25"/>
      <c r="V48" s="25"/>
      <c r="W48" s="25"/>
      <c r="X48" s="64"/>
      <c r="Y48" s="9"/>
    </row>
    <row r="49" spans="1:25" ht="12.75">
      <c r="A49" s="187"/>
      <c r="B49" s="154"/>
      <c r="C49" s="159" t="s">
        <v>1</v>
      </c>
      <c r="D49" s="162">
        <v>400</v>
      </c>
      <c r="E49" s="99"/>
      <c r="F49" s="99"/>
      <c r="G49" s="99"/>
      <c r="H49" s="99"/>
      <c r="I49" s="99"/>
      <c r="J49" s="99"/>
      <c r="K49" s="99"/>
      <c r="M49" s="22"/>
      <c r="N49" s="69"/>
      <c r="O49" s="69"/>
      <c r="P49" s="25"/>
      <c r="Q49" s="25"/>
      <c r="R49" s="25"/>
      <c r="S49" s="135">
        <v>1</v>
      </c>
      <c r="T49" s="131" t="s">
        <v>42</v>
      </c>
      <c r="U49" s="132"/>
      <c r="V49" s="105">
        <f>(0.85*(0.83*D3)/(1.25*1.6))*D52*D49-(-D8*D38)-(-D5*D36)</f>
        <v>1955373.9130434785</v>
      </c>
      <c r="W49" s="76">
        <v>0</v>
      </c>
      <c r="X49" s="90">
        <f>V49/1000</f>
        <v>1955.3739130434785</v>
      </c>
      <c r="Y49" s="93">
        <f t="shared" si="1"/>
        <v>0</v>
      </c>
    </row>
    <row r="50" spans="1:25" ht="15.75">
      <c r="A50" s="187"/>
      <c r="B50" s="154"/>
      <c r="C50" s="158"/>
      <c r="D50" s="182"/>
      <c r="E50" s="99"/>
      <c r="F50" s="99"/>
      <c r="G50" s="99"/>
      <c r="H50" s="99"/>
      <c r="I50" s="99"/>
      <c r="J50" s="99"/>
      <c r="K50" s="99"/>
      <c r="M50" s="2"/>
      <c r="N50" s="2"/>
      <c r="O50" s="2"/>
      <c r="P50" s="25"/>
      <c r="Q50" s="25"/>
      <c r="R50" s="25"/>
      <c r="S50" s="136"/>
      <c r="T50" s="133" t="s">
        <v>43</v>
      </c>
      <c r="U50" s="134"/>
      <c r="V50" s="106">
        <f>V49</f>
        <v>1955373.9130434785</v>
      </c>
      <c r="W50" s="70">
        <v>140000000</v>
      </c>
      <c r="X50" s="91">
        <f>V50/1000</f>
        <v>1955.3739130434785</v>
      </c>
      <c r="Y50" s="94">
        <f t="shared" si="1"/>
        <v>140</v>
      </c>
    </row>
    <row r="51" spans="1:25" ht="12.75">
      <c r="A51" s="187"/>
      <c r="B51" s="154"/>
      <c r="C51" s="144"/>
      <c r="D51" s="191"/>
      <c r="E51" s="99"/>
      <c r="F51" s="99"/>
      <c r="G51" s="99"/>
      <c r="H51" s="99"/>
      <c r="I51" s="99"/>
      <c r="J51" s="99"/>
      <c r="K51" s="99"/>
      <c r="M51" s="2"/>
      <c r="N51" s="2"/>
      <c r="O51" s="2"/>
      <c r="P51" s="25"/>
      <c r="Q51" s="25"/>
      <c r="R51" s="25"/>
      <c r="S51" s="137">
        <v>2</v>
      </c>
      <c r="T51" s="127" t="s">
        <v>41</v>
      </c>
      <c r="U51" s="129">
        <f>MAX(D49/30,20)</f>
        <v>20</v>
      </c>
      <c r="V51" s="89">
        <v>0</v>
      </c>
      <c r="W51" s="89">
        <f>V51*U51</f>
        <v>0</v>
      </c>
      <c r="X51" s="92">
        <f>V51/1000</f>
        <v>0</v>
      </c>
      <c r="Y51" s="95">
        <f t="shared" si="1"/>
        <v>0</v>
      </c>
    </row>
    <row r="52" spans="1:25" ht="12.75">
      <c r="A52" s="187"/>
      <c r="B52" s="154"/>
      <c r="C52" s="158" t="s">
        <v>0</v>
      </c>
      <c r="D52" s="182">
        <v>400</v>
      </c>
      <c r="E52" s="99"/>
      <c r="F52" s="99"/>
      <c r="G52" s="99"/>
      <c r="H52" s="99"/>
      <c r="I52" s="99"/>
      <c r="J52" s="99"/>
      <c r="K52" s="99"/>
      <c r="M52" s="25"/>
      <c r="N52" s="25"/>
      <c r="O52" s="25"/>
      <c r="P52" s="25"/>
      <c r="Q52" s="25"/>
      <c r="R52" s="25"/>
      <c r="S52" s="136"/>
      <c r="T52" s="128"/>
      <c r="U52" s="130"/>
      <c r="V52" s="70">
        <v>2400000</v>
      </c>
      <c r="W52" s="70">
        <f>V52*U51</f>
        <v>48000000</v>
      </c>
      <c r="X52" s="91">
        <f>V52/1000</f>
        <v>2400</v>
      </c>
      <c r="Y52" s="94">
        <f t="shared" si="1"/>
        <v>48</v>
      </c>
    </row>
    <row r="53" spans="1:25" ht="15.75">
      <c r="A53" s="187"/>
      <c r="B53" s="154"/>
      <c r="C53" s="158"/>
      <c r="D53" s="182"/>
      <c r="E53" s="99"/>
      <c r="F53" s="99"/>
      <c r="J53" s="99"/>
      <c r="K53" s="99"/>
      <c r="M53" s="25"/>
      <c r="N53" s="25"/>
      <c r="O53" s="25"/>
      <c r="P53" s="25"/>
      <c r="Q53" s="25"/>
      <c r="R53" s="25"/>
      <c r="S53" s="88">
        <v>3</v>
      </c>
      <c r="T53" s="121" t="s">
        <v>45</v>
      </c>
      <c r="U53" s="122"/>
      <c r="V53" s="122"/>
      <c r="W53" s="122"/>
      <c r="X53" s="122"/>
      <c r="Y53" s="123"/>
    </row>
    <row r="54" spans="1:25" ht="13.5" thickBot="1">
      <c r="A54" s="188"/>
      <c r="B54" s="155"/>
      <c r="C54" s="195"/>
      <c r="D54" s="183"/>
      <c r="E54" s="99"/>
      <c r="F54" s="99"/>
      <c r="J54" s="99"/>
      <c r="K54" s="99"/>
      <c r="M54" s="25"/>
      <c r="N54" s="25"/>
      <c r="O54" s="25"/>
      <c r="P54" s="25"/>
      <c r="Q54" s="25"/>
      <c r="R54" s="25"/>
      <c r="S54" s="87">
        <v>4</v>
      </c>
      <c r="T54" s="124" t="s">
        <v>46</v>
      </c>
      <c r="U54" s="125"/>
      <c r="V54" s="125"/>
      <c r="W54" s="125"/>
      <c r="X54" s="125"/>
      <c r="Y54" s="126"/>
    </row>
    <row r="55" spans="13:25" ht="12.75"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</sheetData>
  <mergeCells count="61">
    <mergeCell ref="T53:Y53"/>
    <mergeCell ref="T54:Y54"/>
    <mergeCell ref="T49:U49"/>
    <mergeCell ref="T50:U50"/>
    <mergeCell ref="S51:S52"/>
    <mergeCell ref="T51:T52"/>
    <mergeCell ref="U51:U52"/>
    <mergeCell ref="M48:R48"/>
    <mergeCell ref="S49:S50"/>
    <mergeCell ref="M36:M44"/>
    <mergeCell ref="C38:C39"/>
    <mergeCell ref="D38:D39"/>
    <mergeCell ref="D43:D45"/>
    <mergeCell ref="C46:C48"/>
    <mergeCell ref="D46:D48"/>
    <mergeCell ref="C49:C51"/>
    <mergeCell ref="D49:D51"/>
    <mergeCell ref="A36:A54"/>
    <mergeCell ref="B36:B39"/>
    <mergeCell ref="C36:C37"/>
    <mergeCell ref="D36:D37"/>
    <mergeCell ref="C52:C54"/>
    <mergeCell ref="D52:D54"/>
    <mergeCell ref="B40:B54"/>
    <mergeCell ref="C40:C42"/>
    <mergeCell ref="D40:D42"/>
    <mergeCell ref="C43:C45"/>
    <mergeCell ref="B31:B35"/>
    <mergeCell ref="C31:C35"/>
    <mergeCell ref="D31:D35"/>
    <mergeCell ref="B13:B30"/>
    <mergeCell ref="C13:C15"/>
    <mergeCell ref="D13:D15"/>
    <mergeCell ref="C16:C18"/>
    <mergeCell ref="D16:D18"/>
    <mergeCell ref="M18:M25"/>
    <mergeCell ref="C19:C21"/>
    <mergeCell ref="D19:D21"/>
    <mergeCell ref="C22:C24"/>
    <mergeCell ref="D22:D24"/>
    <mergeCell ref="C25:C27"/>
    <mergeCell ref="D25:D27"/>
    <mergeCell ref="M27:M32"/>
    <mergeCell ref="C28:C30"/>
    <mergeCell ref="D28:D30"/>
    <mergeCell ref="D5:D7"/>
    <mergeCell ref="C8:C10"/>
    <mergeCell ref="D8:D10"/>
    <mergeCell ref="M9:M12"/>
    <mergeCell ref="C11:C12"/>
    <mergeCell ref="D11:D12"/>
    <mergeCell ref="A1:A35"/>
    <mergeCell ref="D3:D4"/>
    <mergeCell ref="M3:M7"/>
    <mergeCell ref="C5:C7"/>
    <mergeCell ref="M14:M16"/>
    <mergeCell ref="B1:B12"/>
    <mergeCell ref="C1:C2"/>
    <mergeCell ref="D1:D2"/>
    <mergeCell ref="G1:I1"/>
    <mergeCell ref="C3:C4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4"/>
  <sheetViews>
    <sheetView zoomScale="75" zoomScaleNormal="75" workbookViewId="0" topLeftCell="A1">
      <selection activeCell="E2" sqref="E2"/>
    </sheetView>
  </sheetViews>
  <sheetFormatPr defaultColWidth="9.140625" defaultRowHeight="12.75"/>
  <cols>
    <col min="1" max="1" width="5.28125" style="0" bestFit="1" customWidth="1"/>
    <col min="2" max="2" width="4.28125" style="0" bestFit="1" customWidth="1"/>
    <col min="3" max="3" width="5.28125" style="0" bestFit="1" customWidth="1"/>
    <col min="4" max="4" width="4.28125" style="0" customWidth="1"/>
    <col min="5" max="6" width="10.7109375" style="0" customWidth="1"/>
    <col min="7" max="9" width="12.7109375" style="0" customWidth="1"/>
    <col min="10" max="11" width="10.7109375" style="0" customWidth="1"/>
    <col min="12" max="12" width="1.7109375" style="0" customWidth="1"/>
    <col min="13" max="13" width="3.140625" style="0" bestFit="1" customWidth="1"/>
    <col min="14" max="14" width="8.140625" style="0" bestFit="1" customWidth="1"/>
    <col min="15" max="16" width="7.57421875" style="0" bestFit="1" customWidth="1"/>
    <col min="17" max="18" width="8.140625" style="0" bestFit="1" customWidth="1"/>
    <col min="19" max="19" width="5.57421875" style="0" bestFit="1" customWidth="1"/>
    <col min="20" max="21" width="7.140625" style="0" bestFit="1" customWidth="1"/>
    <col min="22" max="22" width="8.00390625" style="0" bestFit="1" customWidth="1"/>
    <col min="23" max="23" width="10.00390625" style="0" customWidth="1"/>
    <col min="24" max="24" width="7.57421875" style="0" bestFit="1" customWidth="1"/>
    <col min="25" max="25" width="6.57421875" style="0" bestFit="1" customWidth="1"/>
  </cols>
  <sheetData>
    <row r="1" spans="1:32" ht="20.25" thickBot="1">
      <c r="A1" s="176" t="s">
        <v>7</v>
      </c>
      <c r="B1" s="141" t="s">
        <v>16</v>
      </c>
      <c r="C1" s="184" t="s">
        <v>19</v>
      </c>
      <c r="D1" s="148">
        <f>0.83*D3/1.6</f>
        <v>15.562499999999998</v>
      </c>
      <c r="E1" s="96"/>
      <c r="F1" s="96"/>
      <c r="G1" s="145" t="s">
        <v>15</v>
      </c>
      <c r="H1" s="146"/>
      <c r="I1" s="147"/>
      <c r="J1" s="2"/>
      <c r="K1" s="96"/>
      <c r="M1" s="26"/>
      <c r="N1" s="27" t="s">
        <v>10</v>
      </c>
      <c r="O1" s="28" t="s">
        <v>5</v>
      </c>
      <c r="P1" s="56" t="s">
        <v>33</v>
      </c>
      <c r="Q1" s="56" t="s">
        <v>40</v>
      </c>
      <c r="R1" s="56" t="s">
        <v>39</v>
      </c>
      <c r="S1" s="56" t="s">
        <v>36</v>
      </c>
      <c r="T1" s="56" t="s">
        <v>37</v>
      </c>
      <c r="U1" s="56" t="s">
        <v>38</v>
      </c>
      <c r="V1" s="55" t="s">
        <v>34</v>
      </c>
      <c r="W1" s="28" t="s">
        <v>35</v>
      </c>
      <c r="X1" s="29" t="s">
        <v>34</v>
      </c>
      <c r="Y1" s="30" t="s">
        <v>35</v>
      </c>
      <c r="Z1" s="103"/>
      <c r="AA1" s="103"/>
      <c r="AB1" s="103"/>
      <c r="AC1" s="103"/>
      <c r="AD1" s="103"/>
      <c r="AE1" s="103"/>
      <c r="AF1" s="103"/>
    </row>
    <row r="2" spans="1:32" ht="17.25" thickTop="1">
      <c r="A2" s="177"/>
      <c r="B2" s="139"/>
      <c r="C2" s="185"/>
      <c r="D2" s="149"/>
      <c r="E2" s="96"/>
      <c r="F2" s="96"/>
      <c r="G2" s="101"/>
      <c r="H2" s="6" t="s">
        <v>8</v>
      </c>
      <c r="I2" s="66" t="s">
        <v>9</v>
      </c>
      <c r="J2" s="2"/>
      <c r="K2" s="96"/>
      <c r="M2" s="82"/>
      <c r="N2" s="86">
        <f>O2/D46</f>
        <v>-2415.4565217391305</v>
      </c>
      <c r="O2" s="83">
        <v>-999999</v>
      </c>
      <c r="P2" s="58">
        <v>0</v>
      </c>
      <c r="Q2" s="58">
        <f>D25</f>
        <v>0.01</v>
      </c>
      <c r="R2" s="85">
        <v>0.01</v>
      </c>
      <c r="S2" s="58">
        <v>0</v>
      </c>
      <c r="T2" s="58">
        <f>D8</f>
        <v>326.0869565217392</v>
      </c>
      <c r="U2" s="58">
        <f>MIN(R2*D31,D5)</f>
        <v>326.0869565217392</v>
      </c>
      <c r="V2" s="37">
        <f>(S2*D52*0.8*O2)-((D38*T2)+(D36*U2))</f>
        <v>-262173.91304347833</v>
      </c>
      <c r="W2" s="13">
        <f>((S2*D52*0.8*O2)*((0.5*(D46+D40))-(0.4*O2)))+(((D38*T2)-(D36*U2))*0.5*(D46-D43))</f>
        <v>0</v>
      </c>
      <c r="X2" s="20">
        <f>V2/1000</f>
        <v>-262.1739130434783</v>
      </c>
      <c r="Y2" s="21">
        <f>W2/POWER(1000,2)</f>
        <v>0</v>
      </c>
      <c r="Z2" s="103"/>
      <c r="AA2" s="103"/>
      <c r="AB2" s="103"/>
      <c r="AC2" s="103"/>
      <c r="AD2" s="103"/>
      <c r="AE2" s="103"/>
      <c r="AF2" s="103"/>
    </row>
    <row r="3" spans="1:32" ht="15.75">
      <c r="A3" s="177"/>
      <c r="B3" s="139"/>
      <c r="C3" s="167" t="s">
        <v>20</v>
      </c>
      <c r="D3" s="160">
        <v>30</v>
      </c>
      <c r="E3" s="97"/>
      <c r="F3" s="97"/>
      <c r="G3" s="23" t="s">
        <v>57</v>
      </c>
      <c r="H3" s="7">
        <v>1684.29</v>
      </c>
      <c r="I3" s="65">
        <v>44.17</v>
      </c>
      <c r="J3" s="2"/>
      <c r="K3" s="97"/>
      <c r="M3" s="120">
        <v>1</v>
      </c>
      <c r="N3" s="8">
        <v>-1</v>
      </c>
      <c r="O3" s="7">
        <f>N3*D46</f>
        <v>-414</v>
      </c>
      <c r="P3" s="31">
        <v>0</v>
      </c>
      <c r="Q3" s="31">
        <f>D25</f>
        <v>0.01</v>
      </c>
      <c r="R3" s="33">
        <f>Q3*(D43-O3)/(D46-O3)</f>
        <v>0.005434782608695652</v>
      </c>
      <c r="S3" s="32">
        <v>0</v>
      </c>
      <c r="T3" s="32">
        <f>D8</f>
        <v>326.0869565217392</v>
      </c>
      <c r="U3" s="32">
        <f>MIN(R3*D31,D5)</f>
        <v>326.0869565217392</v>
      </c>
      <c r="V3" s="36">
        <f>(S3*D52*0.8*O3)-((D38*T3)+(D36*U3))</f>
        <v>-262173.91304347833</v>
      </c>
      <c r="W3" s="7">
        <f>((S3*D52*0.8*O3)*((0.5*(D46+D40))-(0.4*O3)))+(((D38*T3)-(D36*U3))*0.5*(D46-D43))</f>
        <v>0</v>
      </c>
      <c r="X3" s="18">
        <f>V3/1000</f>
        <v>-262.1739130434783</v>
      </c>
      <c r="Y3" s="19">
        <f>W3/POWER(1000,2)</f>
        <v>0</v>
      </c>
      <c r="Z3" s="103"/>
      <c r="AA3" s="103"/>
      <c r="AB3" s="103"/>
      <c r="AC3" s="103"/>
      <c r="AD3" s="103"/>
      <c r="AE3" s="103"/>
      <c r="AF3" s="103"/>
    </row>
    <row r="4" spans="1:32" ht="16.5" thickBot="1">
      <c r="A4" s="177"/>
      <c r="B4" s="139"/>
      <c r="C4" s="168"/>
      <c r="D4" s="161"/>
      <c r="E4" s="97"/>
      <c r="F4" s="97"/>
      <c r="G4" s="24" t="s">
        <v>58</v>
      </c>
      <c r="H4" s="4">
        <v>1698.47</v>
      </c>
      <c r="I4" s="67">
        <v>22.09</v>
      </c>
      <c r="J4" s="2"/>
      <c r="K4" s="97"/>
      <c r="M4" s="120"/>
      <c r="N4" s="9">
        <v>-0.5</v>
      </c>
      <c r="O4" s="7">
        <f>N4*D46</f>
        <v>-207</v>
      </c>
      <c r="P4" s="31">
        <v>0</v>
      </c>
      <c r="Q4" s="31">
        <f>D25</f>
        <v>0.01</v>
      </c>
      <c r="R4" s="33">
        <f>Q4*(D43-O4)/(D46-O4)</f>
        <v>0.00391304347826087</v>
      </c>
      <c r="S4" s="32">
        <v>0</v>
      </c>
      <c r="T4" s="32">
        <f>D8</f>
        <v>326.0869565217392</v>
      </c>
      <c r="U4" s="32">
        <f>MIN(R4*D31,D5)</f>
        <v>326.0869565217392</v>
      </c>
      <c r="V4" s="36">
        <f>(S4*D52*0.8*O4)-((D38*T4)+(D36*U4))</f>
        <v>-262173.91304347833</v>
      </c>
      <c r="W4" s="7">
        <f>((S4*D52*0.8*O4)*((0.5*(D46+D40))-(0.4*O4)))+(((D38*T4)-(D36*U4))*0.5*(D46-D43))</f>
        <v>0</v>
      </c>
      <c r="X4" s="18">
        <f aca="true" t="shared" si="0" ref="X4:X45">V4/1000</f>
        <v>-262.1739130434783</v>
      </c>
      <c r="Y4" s="19">
        <f aca="true" t="shared" si="1" ref="Y4:Y52">W4/POWER(1000,2)</f>
        <v>0</v>
      </c>
      <c r="Z4" s="103"/>
      <c r="AA4" s="103"/>
      <c r="AB4" s="103"/>
      <c r="AC4" s="103"/>
      <c r="AD4" s="103"/>
      <c r="AE4" s="103"/>
      <c r="AF4" s="103"/>
    </row>
    <row r="5" spans="1:32" ht="13.5" thickTop="1">
      <c r="A5" s="177"/>
      <c r="B5" s="139"/>
      <c r="C5" s="169" t="s">
        <v>21</v>
      </c>
      <c r="D5" s="186">
        <f>D11/1.15</f>
        <v>326.0869565217392</v>
      </c>
      <c r="E5" s="98"/>
      <c r="F5" s="98"/>
      <c r="G5" s="24"/>
      <c r="H5" s="4"/>
      <c r="I5" s="67"/>
      <c r="J5" s="2"/>
      <c r="K5" s="98"/>
      <c r="M5" s="120"/>
      <c r="N5" s="8">
        <v>-0.25</v>
      </c>
      <c r="O5" s="7">
        <f>N5*D46</f>
        <v>-103.5</v>
      </c>
      <c r="P5" s="31">
        <v>0</v>
      </c>
      <c r="Q5" s="31">
        <f>D25</f>
        <v>0.01</v>
      </c>
      <c r="R5" s="33">
        <f>Q5*(D43-O5)/(D46-O5)</f>
        <v>0.0026956521739130435</v>
      </c>
      <c r="S5" s="31">
        <v>0</v>
      </c>
      <c r="T5" s="31">
        <f>D8</f>
        <v>326.0869565217392</v>
      </c>
      <c r="U5" s="32">
        <f>MIN(R5*D31,D5)</f>
        <v>326.0869565217392</v>
      </c>
      <c r="V5" s="36">
        <f>(S5*D52*0.8*O5)-((D38*T5)+(D36*U5))</f>
        <v>-262173.91304347833</v>
      </c>
      <c r="W5" s="7">
        <f>((S5*D52*0.8*O5)*((0.5*(D46+D40))-(0.4*O5)))+(((D38*T5)-(D36*U5))*0.5*(D46-D43))</f>
        <v>0</v>
      </c>
      <c r="X5" s="18">
        <f t="shared" si="0"/>
        <v>-262.1739130434783</v>
      </c>
      <c r="Y5" s="19">
        <f t="shared" si="1"/>
        <v>0</v>
      </c>
      <c r="Z5" s="103"/>
      <c r="AA5" s="103"/>
      <c r="AB5" s="103"/>
      <c r="AC5" s="103"/>
      <c r="AD5" s="103"/>
      <c r="AE5" s="103"/>
      <c r="AF5" s="103"/>
    </row>
    <row r="6" spans="1:32" ht="13.5" thickBot="1">
      <c r="A6" s="177"/>
      <c r="B6" s="139"/>
      <c r="C6" s="170"/>
      <c r="D6" s="151"/>
      <c r="E6" s="98"/>
      <c r="F6" s="98"/>
      <c r="G6" s="3"/>
      <c r="H6" s="5"/>
      <c r="I6" s="68"/>
      <c r="J6" s="2"/>
      <c r="K6" s="98"/>
      <c r="M6" s="120"/>
      <c r="N6" s="9">
        <v>-0.1</v>
      </c>
      <c r="O6" s="39">
        <f>N6*D46</f>
        <v>-41.400000000000006</v>
      </c>
      <c r="P6" s="39">
        <v>0</v>
      </c>
      <c r="Q6" s="39">
        <f>D25</f>
        <v>0.01</v>
      </c>
      <c r="R6" s="33">
        <f>Q6*(D43-O6)/(D46-O6)</f>
        <v>0.0016996047430830042</v>
      </c>
      <c r="S6" s="39">
        <v>0</v>
      </c>
      <c r="T6" s="39">
        <f>D8</f>
        <v>326.0869565217392</v>
      </c>
      <c r="U6" s="32">
        <f>MIN(R6*D31,D5)</f>
        <v>326.0869565217392</v>
      </c>
      <c r="V6" s="36">
        <f>(S6*D52*0.8*O6)-((D38*T6)+(D36*U6))</f>
        <v>-262173.91304347833</v>
      </c>
      <c r="W6" s="7">
        <f>((S6*D52*0.8*O6)*((0.5*(D46+D40))-(0.4*O6)))+(((D38*T6)-(D36*U6))*0.5*(D46-D43))</f>
        <v>0</v>
      </c>
      <c r="X6" s="18">
        <f>V6/1000</f>
        <v>-262.1739130434783</v>
      </c>
      <c r="Y6" s="19">
        <f>W6/POWER(1000,2)</f>
        <v>0</v>
      </c>
      <c r="Z6" s="103"/>
      <c r="AA6" s="103"/>
      <c r="AB6" s="103"/>
      <c r="AC6" s="103"/>
      <c r="AD6" s="103"/>
      <c r="AE6" s="103"/>
      <c r="AF6" s="103"/>
    </row>
    <row r="7" spans="1:32" ht="12.75">
      <c r="A7" s="177"/>
      <c r="B7" s="139"/>
      <c r="C7" s="171"/>
      <c r="D7" s="152"/>
      <c r="E7" s="98"/>
      <c r="F7" s="98"/>
      <c r="G7" s="98"/>
      <c r="H7" s="98"/>
      <c r="I7" s="98"/>
      <c r="J7" s="2"/>
      <c r="K7" s="98"/>
      <c r="L7" s="1"/>
      <c r="M7" s="120"/>
      <c r="N7" s="51">
        <f>O7/D46</f>
        <v>-0.08475426278836512</v>
      </c>
      <c r="O7" s="39">
        <f>-((R7*D46)-(Q7*D43))/(Q7-R7)</f>
        <v>-35.08826479438316</v>
      </c>
      <c r="P7" s="31">
        <v>0</v>
      </c>
      <c r="Q7" s="31">
        <f>D25</f>
        <v>0.01</v>
      </c>
      <c r="R7" s="59">
        <f>D22</f>
        <v>0.001582946390882229</v>
      </c>
      <c r="S7" s="31">
        <v>0</v>
      </c>
      <c r="T7" s="31">
        <f>D8</f>
        <v>326.0869565217392</v>
      </c>
      <c r="U7" s="32">
        <f>MIN(R7*D31,D5)</f>
        <v>326.0869565217392</v>
      </c>
      <c r="V7" s="36">
        <f>(S7*D52*0.8*O7)-((D38*T7)+(D36*U7))</f>
        <v>-262173.91304347833</v>
      </c>
      <c r="W7" s="36">
        <f>((S7*D52*0.8*O7)*((0.5*(D46+D40))-(0.4*O7)))+(((D38*T7)-(D36*U7))*0.5*(D46-D43))</f>
        <v>0</v>
      </c>
      <c r="X7" s="18">
        <f t="shared" si="0"/>
        <v>-262.1739130434783</v>
      </c>
      <c r="Y7" s="19">
        <f t="shared" si="1"/>
        <v>0</v>
      </c>
      <c r="Z7" s="103"/>
      <c r="AA7" s="103"/>
      <c r="AB7" s="103"/>
      <c r="AC7" s="103"/>
      <c r="AD7" s="103"/>
      <c r="AE7" s="103"/>
      <c r="AF7" s="103"/>
    </row>
    <row r="8" spans="1:32" ht="12.75">
      <c r="A8" s="177"/>
      <c r="B8" s="139"/>
      <c r="C8" s="172" t="s">
        <v>22</v>
      </c>
      <c r="D8" s="150">
        <f>D11/1.15</f>
        <v>326.0869565217392</v>
      </c>
      <c r="E8" s="98"/>
      <c r="F8" s="98"/>
      <c r="G8" s="98"/>
      <c r="H8" s="98"/>
      <c r="I8" s="98"/>
      <c r="J8" s="2"/>
      <c r="K8" s="98"/>
      <c r="M8" s="11"/>
      <c r="N8" s="12">
        <v>0</v>
      </c>
      <c r="O8" s="13">
        <f>N8*D46</f>
        <v>0</v>
      </c>
      <c r="P8" s="62">
        <f>Q8*O8/(D46-O8)</f>
        <v>0</v>
      </c>
      <c r="Q8" s="15">
        <f>D25</f>
        <v>0.01</v>
      </c>
      <c r="R8" s="57">
        <f>Q8*(D43-O8)/(D46-O8)</f>
        <v>0.0008695652173913043</v>
      </c>
      <c r="S8" s="15">
        <f>1000*0.85*D1*(P8-(250*P8^2))</f>
        <v>0</v>
      </c>
      <c r="T8" s="15">
        <f>D8</f>
        <v>326.0869565217392</v>
      </c>
      <c r="U8" s="58">
        <f>MIN(R8*D31,D5)</f>
        <v>179.1304347826087</v>
      </c>
      <c r="V8" s="37">
        <f>(S8*D52*0.8*O8)-((D38*T8)+(D36*U8))</f>
        <v>-203097.39130434784</v>
      </c>
      <c r="W8" s="37">
        <f>((S8*D52*0.8*O8)*((0.5*(D46+D40))-(0.4*O8)))+(((D38*T8)-(D36*U8))*0.5*(D46-D43))</f>
        <v>11165462.60869566</v>
      </c>
      <c r="X8" s="20">
        <f t="shared" si="0"/>
        <v>-203.09739130434784</v>
      </c>
      <c r="Y8" s="21">
        <f t="shared" si="1"/>
        <v>11.165462608695659</v>
      </c>
      <c r="Z8" s="103"/>
      <c r="AA8" s="103"/>
      <c r="AB8" s="103"/>
      <c r="AC8" s="103"/>
      <c r="AD8" s="103"/>
      <c r="AE8" s="103"/>
      <c r="AF8" s="103"/>
    </row>
    <row r="9" spans="1:32" ht="12.75">
      <c r="A9" s="177"/>
      <c r="B9" s="139"/>
      <c r="C9" s="170"/>
      <c r="D9" s="151"/>
      <c r="E9" s="98"/>
      <c r="F9" s="98"/>
      <c r="G9" s="99"/>
      <c r="H9" s="99"/>
      <c r="I9" s="99"/>
      <c r="J9" s="98"/>
      <c r="K9" s="98"/>
      <c r="M9" s="120" t="s">
        <v>14</v>
      </c>
      <c r="N9" s="2">
        <v>0.05</v>
      </c>
      <c r="O9" s="7">
        <f>N9*D46</f>
        <v>20.700000000000003</v>
      </c>
      <c r="P9" s="34">
        <f>Q9*O9/(D46-O9)</f>
        <v>0.0005263157894736843</v>
      </c>
      <c r="Q9" s="31">
        <f>D25</f>
        <v>0.01</v>
      </c>
      <c r="R9" s="34">
        <f>Q9*(D43-O9)/(D46-O9)</f>
        <v>0.00038901601830663605</v>
      </c>
      <c r="S9" s="31">
        <f>1000*0.85*D1*(P9-(250*P9^2))</f>
        <v>6.046095914127424</v>
      </c>
      <c r="T9" s="31">
        <f>D8</f>
        <v>326.0869565217392</v>
      </c>
      <c r="U9" s="31">
        <f>MIN(R9*D31,D5)</f>
        <v>80.13729977116702</v>
      </c>
      <c r="V9" s="36">
        <f>(S9*D52*0.8*O9)-((D38*T9)+(D36*U9))</f>
        <v>-118246.64427767074</v>
      </c>
      <c r="W9" s="36">
        <f>((S9*D52*0.8*O9)*((0.5*(D46+D40))-(0.4*O9)))+(((D38*T9)-(D36*U9))*0.5*(D46-D43))</f>
        <v>28451192.443905223</v>
      </c>
      <c r="X9" s="18">
        <f t="shared" si="0"/>
        <v>-118.24664427767074</v>
      </c>
      <c r="Y9" s="19">
        <f t="shared" si="1"/>
        <v>28.451192443905224</v>
      </c>
      <c r="Z9" s="103"/>
      <c r="AA9" s="103"/>
      <c r="AB9" s="103"/>
      <c r="AC9" s="103"/>
      <c r="AD9" s="103"/>
      <c r="AE9" s="103"/>
      <c r="AF9" s="103"/>
    </row>
    <row r="10" spans="1:32" ht="12.75">
      <c r="A10" s="177"/>
      <c r="B10" s="139"/>
      <c r="C10" s="171"/>
      <c r="D10" s="152"/>
      <c r="E10" s="98"/>
      <c r="F10" s="98"/>
      <c r="G10" s="99"/>
      <c r="H10" s="99"/>
      <c r="I10" s="99"/>
      <c r="J10" s="98"/>
      <c r="K10" s="98"/>
      <c r="M10" s="120"/>
      <c r="N10" s="51">
        <f>O10/D46</f>
        <v>0.08695652173913043</v>
      </c>
      <c r="O10" s="17">
        <f>D43</f>
        <v>36</v>
      </c>
      <c r="P10" s="48">
        <f>Q10*O10/(D46-O10)</f>
        <v>0.0009523809523809524</v>
      </c>
      <c r="Q10" s="39">
        <f>D25</f>
        <v>0.01</v>
      </c>
      <c r="R10" s="54">
        <f>Q10*(D43-O10)/(D46-O10)</f>
        <v>0</v>
      </c>
      <c r="S10" s="39">
        <f>1000*0.85*D1*(P10-(250*P10^2))</f>
        <v>9.598639455782312</v>
      </c>
      <c r="T10" s="39">
        <f>D8</f>
        <v>326.0869565217392</v>
      </c>
      <c r="U10" s="39">
        <f>MAX(R10*D31,-D5)</f>
        <v>0</v>
      </c>
      <c r="V10" s="45">
        <f>(S10*D52*0.8*O10)-((D38*T10)+(D36*U10))</f>
        <v>-6688.589174800378</v>
      </c>
      <c r="W10" s="45">
        <f>((S10*D52*0.8*O10)*((0.5*(D46+D40))-(0.4*O10)))+(((D38*T10)-(D36*U10))*0.5*(D46-D43))</f>
        <v>50973730.945874006</v>
      </c>
      <c r="X10" s="52">
        <f t="shared" si="0"/>
        <v>-6.688589174800378</v>
      </c>
      <c r="Y10" s="60">
        <f t="shared" si="1"/>
        <v>50.973730945874</v>
      </c>
      <c r="Z10" s="103"/>
      <c r="AA10" s="103"/>
      <c r="AB10" s="103"/>
      <c r="AC10" s="103"/>
      <c r="AD10" s="103"/>
      <c r="AE10" s="103"/>
      <c r="AF10" s="103"/>
    </row>
    <row r="11" spans="1:32" ht="12.75">
      <c r="A11" s="177"/>
      <c r="B11" s="139"/>
      <c r="C11" s="167" t="s">
        <v>23</v>
      </c>
      <c r="D11" s="162">
        <v>375</v>
      </c>
      <c r="E11" s="99"/>
      <c r="F11" s="99"/>
      <c r="G11" s="100"/>
      <c r="H11" s="100"/>
      <c r="I11" s="100"/>
      <c r="J11" s="99"/>
      <c r="K11" s="99"/>
      <c r="M11" s="120"/>
      <c r="N11" s="8">
        <v>0.1</v>
      </c>
      <c r="O11" s="7">
        <f>N11*D46</f>
        <v>41.400000000000006</v>
      </c>
      <c r="P11" s="34">
        <f>Q11*O11/(D46-O11)</f>
        <v>0.0011111111111111113</v>
      </c>
      <c r="Q11" s="31">
        <f>D25</f>
        <v>0.01</v>
      </c>
      <c r="R11" s="34">
        <f>Q11*(D43-O11)/(D46-O11)</f>
        <v>-0.0001449275362318842</v>
      </c>
      <c r="S11" s="31">
        <f>1000*0.85*D1*(P11-(250*P11^2))</f>
        <v>10.615162037037036</v>
      </c>
      <c r="T11" s="31">
        <f>D8</f>
        <v>326.0869565217392</v>
      </c>
      <c r="U11" s="31">
        <f>MAX(R11*D31,-D5)</f>
        <v>-29.855072463768142</v>
      </c>
      <c r="V11" s="36">
        <f>(S11*D52*0.8*O11)-((D38*T11)+(D36*U11))</f>
        <v>39123.157608695634</v>
      </c>
      <c r="W11" s="36">
        <f>((S11*D52*0.8*O11)*((0.5*(D46+D40))-(0.4*O11)))+(((D38*T11)-(D36*U11))*0.5*(D46-D43))</f>
        <v>60020717.16326088</v>
      </c>
      <c r="X11" s="18">
        <f t="shared" si="0"/>
        <v>39.123157608695635</v>
      </c>
      <c r="Y11" s="19">
        <f t="shared" si="1"/>
        <v>60.020717163260876</v>
      </c>
      <c r="Z11" s="103"/>
      <c r="AA11" s="103"/>
      <c r="AB11" s="103"/>
      <c r="AC11" s="103"/>
      <c r="AD11" s="103"/>
      <c r="AE11" s="103"/>
      <c r="AF11" s="103"/>
    </row>
    <row r="12" spans="1:32" ht="13.5" thickBot="1">
      <c r="A12" s="177"/>
      <c r="B12" s="142"/>
      <c r="C12" s="168"/>
      <c r="D12" s="163"/>
      <c r="E12" s="99"/>
      <c r="F12" s="99"/>
      <c r="G12" s="100"/>
      <c r="H12" s="100"/>
      <c r="I12" s="100"/>
      <c r="J12" s="99"/>
      <c r="K12" s="99"/>
      <c r="M12" s="120"/>
      <c r="N12" s="2">
        <v>0.15</v>
      </c>
      <c r="O12" s="7">
        <f>N12*D46</f>
        <v>62.099999999999994</v>
      </c>
      <c r="P12" s="34">
        <f>Q12*O12/(D46-O12)</f>
        <v>0.0017647058823529412</v>
      </c>
      <c r="Q12" s="31">
        <f>D25</f>
        <v>0.01</v>
      </c>
      <c r="R12" s="34">
        <f>Q12*(D43-O12)/(D46-O12)</f>
        <v>-0.0007416879795396419</v>
      </c>
      <c r="S12" s="31">
        <f>1000*0.85*D1*(P12-(250*P12^2))</f>
        <v>13.045036764705879</v>
      </c>
      <c r="T12" s="31">
        <f>D8</f>
        <v>326.0869565217392</v>
      </c>
      <c r="U12" s="31">
        <f>MAX(R12*D31,-D5)</f>
        <v>-152.78772378516624</v>
      </c>
      <c r="V12" s="36">
        <f>(S12*D52*0.8*O12)-((D38*T12)+(D36*U12))</f>
        <v>221968.55035166224</v>
      </c>
      <c r="W12" s="36">
        <f>((S12*D52*0.8*O12)*((0.5*(D46+D40))-(0.4*O12)))+(((D38*T12)-(D36*U12))*0.5*(D46-D43))</f>
        <v>94757570.41741686</v>
      </c>
      <c r="X12" s="18">
        <f t="shared" si="0"/>
        <v>221.96855035166223</v>
      </c>
      <c r="Y12" s="19">
        <f t="shared" si="1"/>
        <v>94.75757041741686</v>
      </c>
      <c r="Z12" s="103"/>
      <c r="AA12" s="103"/>
      <c r="AB12" s="103"/>
      <c r="AC12" s="103"/>
      <c r="AD12" s="103"/>
      <c r="AE12" s="103"/>
      <c r="AF12" s="103"/>
    </row>
    <row r="13" spans="1:32" ht="13.5" thickTop="1">
      <c r="A13" s="177"/>
      <c r="B13" s="153" t="s">
        <v>12</v>
      </c>
      <c r="C13" s="180" t="s">
        <v>24</v>
      </c>
      <c r="D13" s="173">
        <v>0.0035</v>
      </c>
      <c r="E13" s="100"/>
      <c r="F13" s="100"/>
      <c r="G13" s="100"/>
      <c r="H13" s="100"/>
      <c r="I13" s="100"/>
      <c r="J13" s="100"/>
      <c r="K13" s="100"/>
      <c r="M13" s="11"/>
      <c r="N13" s="14">
        <f>1/6</f>
        <v>0.16666666666666666</v>
      </c>
      <c r="O13" s="15">
        <f>N13*D46</f>
        <v>69</v>
      </c>
      <c r="P13" s="63">
        <f>Q13*O13/(D46-O13)</f>
        <v>0.002</v>
      </c>
      <c r="Q13" s="15">
        <f>D25</f>
        <v>0.01</v>
      </c>
      <c r="R13" s="35">
        <f>Q13*(D43-O13)/(D46-O13)</f>
        <v>-0.0009565217391304348</v>
      </c>
      <c r="S13" s="15">
        <f>1000*0.85*D1*(P13-(250*P13^2))</f>
        <v>13.228124999999999</v>
      </c>
      <c r="T13" s="15">
        <f>D8</f>
        <v>326.0869565217392</v>
      </c>
      <c r="U13" s="15">
        <f>MAX(R13*D31,-D5)</f>
        <v>-197.04347826086956</v>
      </c>
      <c r="V13" s="37">
        <f>(S13*D52*0.8*O13)-((D38*T13)+(D36*U13))</f>
        <v>276711.1467391304</v>
      </c>
      <c r="W13" s="37">
        <f>((S13*D52*0.8*O13)*((0.5*(D46+D40))-(0.4*O13)))+(((D38*T13)-(D36*U13))*0.5*(D46-D43))</f>
        <v>104609403.94891304</v>
      </c>
      <c r="X13" s="20">
        <f t="shared" si="0"/>
        <v>276.71114673913036</v>
      </c>
      <c r="Y13" s="21">
        <f t="shared" si="1"/>
        <v>104.60940394891304</v>
      </c>
      <c r="Z13" s="103"/>
      <c r="AA13" s="103"/>
      <c r="AB13" s="103"/>
      <c r="AC13" s="103"/>
      <c r="AD13" s="103"/>
      <c r="AE13" s="103"/>
      <c r="AF13" s="103"/>
    </row>
    <row r="14" spans="1:32" ht="12.75">
      <c r="A14" s="177"/>
      <c r="B14" s="139"/>
      <c r="C14" s="165"/>
      <c r="D14" s="174"/>
      <c r="E14" s="100"/>
      <c r="F14" s="100"/>
      <c r="G14" s="100"/>
      <c r="H14" s="100"/>
      <c r="I14" s="100"/>
      <c r="J14" s="100"/>
      <c r="K14" s="100"/>
      <c r="M14" s="120" t="s">
        <v>13</v>
      </c>
      <c r="N14" s="9">
        <v>0.2</v>
      </c>
      <c r="O14" s="39">
        <f>N14*D46</f>
        <v>82.80000000000001</v>
      </c>
      <c r="P14" s="48">
        <f>Q14*O14/(D46-O14)</f>
        <v>0.0025000000000000005</v>
      </c>
      <c r="Q14" s="39">
        <f>D25</f>
        <v>0.01</v>
      </c>
      <c r="R14" s="48">
        <f>Q14*(D43-O14)/(D46-O14)</f>
        <v>-0.00141304347826087</v>
      </c>
      <c r="S14" s="39">
        <f>0.85*D1</f>
        <v>13.228124999999999</v>
      </c>
      <c r="T14" s="39">
        <f>D8</f>
        <v>326.0869565217392</v>
      </c>
      <c r="U14" s="39">
        <f>MAX(R14*D31,-D5)</f>
        <v>-291.08695652173924</v>
      </c>
      <c r="V14" s="45">
        <f>(S14*D52*0.8*O14)-((D38*T14)+(D36*U14))</f>
        <v>380233.94999999995</v>
      </c>
      <c r="W14" s="45">
        <f>((S14*D52*0.8*O14)*((0.5*(D46+D40))-(0.4*O14)))+(((D38*T14)-(D36*U14))*0.5*(D46-D43))</f>
        <v>122550681.49121739</v>
      </c>
      <c r="X14" s="52">
        <f>V14/1000</f>
        <v>380.23394999999994</v>
      </c>
      <c r="Y14" s="60">
        <f>W14/POWER(1000,2)</f>
        <v>122.55068149121739</v>
      </c>
      <c r="Z14" s="103"/>
      <c r="AA14" s="103"/>
      <c r="AB14" s="103"/>
      <c r="AC14" s="103"/>
      <c r="AD14" s="103"/>
      <c r="AE14" s="103"/>
      <c r="AF14" s="103"/>
    </row>
    <row r="15" spans="1:32" ht="12.75">
      <c r="A15" s="177"/>
      <c r="B15" s="139"/>
      <c r="C15" s="166"/>
      <c r="D15" s="175"/>
      <c r="E15" s="100"/>
      <c r="F15" s="100"/>
      <c r="G15" s="100"/>
      <c r="H15" s="100"/>
      <c r="I15" s="100"/>
      <c r="J15" s="100"/>
      <c r="K15" s="100"/>
      <c r="M15" s="120"/>
      <c r="N15" s="51">
        <f>O15/D46</f>
        <v>0.211734693877551</v>
      </c>
      <c r="O15" s="39">
        <f>((-R15*D46)+(Q15*D43))/(-R15+Q15)</f>
        <v>87.65816326530611</v>
      </c>
      <c r="P15" s="34">
        <f>Q15*O15/(D46-O15)</f>
        <v>0.002686084142394822</v>
      </c>
      <c r="Q15" s="31">
        <f>D25</f>
        <v>0.01</v>
      </c>
      <c r="R15" s="53">
        <f>-D22</f>
        <v>-0.001582946390882229</v>
      </c>
      <c r="S15" s="31">
        <f>0.85*D1</f>
        <v>13.228124999999999</v>
      </c>
      <c r="T15" s="31">
        <f>D8</f>
        <v>326.0869565217392</v>
      </c>
      <c r="U15" s="31">
        <f>MAX(R15*D31,-D5)</f>
        <v>-326.0869565217392</v>
      </c>
      <c r="V15" s="36">
        <f>(S15*D52*0.8*O15)-((D38*T15)+(D36*U15))</f>
        <v>417439.1307397958</v>
      </c>
      <c r="W15" s="36">
        <f>((S15*D52*0.8*O15)*((0.5*(D46+D40))-(0.4*O15)))+(((D38*T15)-(D36*U15))*0.5*(D46-D43))</f>
        <v>128837894.99138486</v>
      </c>
      <c r="X15" s="18">
        <f t="shared" si="0"/>
        <v>417.4391307397958</v>
      </c>
      <c r="Y15" s="19">
        <f t="shared" si="1"/>
        <v>128.83789499138487</v>
      </c>
      <c r="Z15" s="103"/>
      <c r="AA15" s="103"/>
      <c r="AB15" s="103"/>
      <c r="AC15" s="103"/>
      <c r="AD15" s="103"/>
      <c r="AE15" s="103"/>
      <c r="AF15" s="103"/>
    </row>
    <row r="16" spans="1:32" ht="12.75">
      <c r="A16" s="177"/>
      <c r="B16" s="139"/>
      <c r="C16" s="164" t="s">
        <v>25</v>
      </c>
      <c r="D16" s="179">
        <v>0.002</v>
      </c>
      <c r="E16" s="100"/>
      <c r="F16" s="100"/>
      <c r="G16" s="100"/>
      <c r="H16" s="100"/>
      <c r="I16" s="100"/>
      <c r="J16" s="100"/>
      <c r="K16" s="100"/>
      <c r="M16" s="120"/>
      <c r="N16" s="2">
        <v>0.25</v>
      </c>
      <c r="O16" s="7">
        <f>N16*D46</f>
        <v>103.5</v>
      </c>
      <c r="P16" s="34">
        <f>Q16*O16/(D46-O16)</f>
        <v>0.003333333333333333</v>
      </c>
      <c r="Q16" s="31">
        <f>D25</f>
        <v>0.01</v>
      </c>
      <c r="R16" s="34">
        <f>Q16*(D43-O16)/(D46-O16)</f>
        <v>-0.002173913043478261</v>
      </c>
      <c r="S16" s="31">
        <f>0.85*D1</f>
        <v>13.228124999999999</v>
      </c>
      <c r="T16" s="31">
        <f>D8</f>
        <v>326.0869565217392</v>
      </c>
      <c r="U16" s="31">
        <f>MAX(R16*D31,-D5)</f>
        <v>-326.0869565217392</v>
      </c>
      <c r="V16" s="36">
        <f>(S16*D52*0.8*O16)-((D38*T16)+(D36*U16))</f>
        <v>492879.9374999999</v>
      </c>
      <c r="W16" s="36">
        <f>((S16*D52*0.8*O16)*((0.5*(D46+D40))-(0.4*O16)))+(((D38*T16)-(D36*U16))*0.5*(D46-D43))</f>
        <v>140043626.09021738</v>
      </c>
      <c r="X16" s="18">
        <f t="shared" si="0"/>
        <v>492.87993749999987</v>
      </c>
      <c r="Y16" s="19">
        <f t="shared" si="1"/>
        <v>140.04362609021737</v>
      </c>
      <c r="Z16" s="103"/>
      <c r="AA16" s="103"/>
      <c r="AB16" s="103"/>
      <c r="AC16" s="103"/>
      <c r="AD16" s="103"/>
      <c r="AE16" s="103"/>
      <c r="AF16" s="103"/>
    </row>
    <row r="17" spans="1:32" ht="12.75">
      <c r="A17" s="177"/>
      <c r="B17" s="139"/>
      <c r="C17" s="165"/>
      <c r="D17" s="174"/>
      <c r="E17" s="100"/>
      <c r="F17" s="100"/>
      <c r="G17" s="100"/>
      <c r="H17" s="100"/>
      <c r="I17" s="100"/>
      <c r="J17" s="100"/>
      <c r="K17" s="100"/>
      <c r="M17" s="11"/>
      <c r="N17" s="14">
        <f>1/(1+D25/D13)</f>
        <v>0.25925925925925924</v>
      </c>
      <c r="O17" s="15">
        <f>N17*D46</f>
        <v>107.33333333333333</v>
      </c>
      <c r="P17" s="63">
        <f>Q17*O17/(D46-O17)</f>
        <v>0.0034999999999999996</v>
      </c>
      <c r="Q17" s="62">
        <f>D25</f>
        <v>0.01</v>
      </c>
      <c r="R17" s="35">
        <f>Q17*(D43-O17)/(D46-O17)</f>
        <v>-0.0023260869565217388</v>
      </c>
      <c r="S17" s="15">
        <f>0.85*D1</f>
        <v>13.228124999999999</v>
      </c>
      <c r="T17" s="15">
        <f>D8</f>
        <v>326.0869565217392</v>
      </c>
      <c r="U17" s="15">
        <f>MAX(R17*D31,-D5)</f>
        <v>-326.0869565217392</v>
      </c>
      <c r="V17" s="37">
        <f>(S17*D52*0.8*O17)-((D38*T17)+(D36*U17))</f>
        <v>511134.7499999999</v>
      </c>
      <c r="W17" s="37">
        <f>((S17*D52*0.8*O17)*((0.5*(D46+D40))-(0.4*O17)))+(((D38*T17)-(D36*U17))*0.5*(D46-D43))</f>
        <v>142611469.71521738</v>
      </c>
      <c r="X17" s="20">
        <f t="shared" si="0"/>
        <v>511.1347499999999</v>
      </c>
      <c r="Y17" s="21">
        <f t="shared" si="1"/>
        <v>142.61146971521737</v>
      </c>
      <c r="Z17" s="103"/>
      <c r="AA17" s="103"/>
      <c r="AB17" s="103"/>
      <c r="AC17" s="103"/>
      <c r="AD17" s="103"/>
      <c r="AE17" s="103"/>
      <c r="AF17" s="103"/>
    </row>
    <row r="18" spans="1:32" ht="13.5" thickBot="1">
      <c r="A18" s="177"/>
      <c r="B18" s="139"/>
      <c r="C18" s="181"/>
      <c r="D18" s="196"/>
      <c r="E18" s="100"/>
      <c r="F18" s="100"/>
      <c r="G18" s="100"/>
      <c r="H18" s="100"/>
      <c r="I18" s="100"/>
      <c r="J18" s="100"/>
      <c r="K18" s="100"/>
      <c r="M18" s="120">
        <v>3</v>
      </c>
      <c r="N18" s="8">
        <v>0.3</v>
      </c>
      <c r="O18" s="45">
        <f>N18*D46</f>
        <v>124.19999999999999</v>
      </c>
      <c r="P18" s="38">
        <f>D13</f>
        <v>0.0035</v>
      </c>
      <c r="Q18" s="34">
        <f>P18*(D46-O18)/O18</f>
        <v>0.008166666666666668</v>
      </c>
      <c r="R18" s="34">
        <f>P18*(D43-O18)/O18</f>
        <v>-0.002485507246376812</v>
      </c>
      <c r="S18" s="31">
        <f>0.85*D1</f>
        <v>13.228124999999999</v>
      </c>
      <c r="T18" s="39">
        <f>D8</f>
        <v>326.0869565217392</v>
      </c>
      <c r="U18" s="39">
        <f>MAX(R18*D31,-D5)</f>
        <v>-326.0869565217392</v>
      </c>
      <c r="V18" s="45">
        <f>(S18*D52*0.8*O18)-((D38*T18)+(D36*U18))</f>
        <v>591455.9249999998</v>
      </c>
      <c r="W18" s="45">
        <f>((S18*D52*0.8*O18)*((0.5*(D46+D40))-(0.4*O18)))+(((D38*T18)-(D36*U18))*0.5*(D46-D43))</f>
        <v>153244922.33621737</v>
      </c>
      <c r="X18" s="18">
        <f t="shared" si="0"/>
        <v>591.4559249999999</v>
      </c>
      <c r="Y18" s="19">
        <f t="shared" si="1"/>
        <v>153.24492233621737</v>
      </c>
      <c r="Z18" s="103"/>
      <c r="AA18" s="103"/>
      <c r="AB18" s="103"/>
      <c r="AC18" s="103"/>
      <c r="AD18" s="103"/>
      <c r="AE18" s="103"/>
      <c r="AF18" s="103"/>
    </row>
    <row r="19" spans="1:32" ht="13.5" thickTop="1">
      <c r="A19" s="177"/>
      <c r="B19" s="139"/>
      <c r="C19" s="180" t="s">
        <v>26</v>
      </c>
      <c r="D19" s="173">
        <v>0.01</v>
      </c>
      <c r="E19" s="100"/>
      <c r="F19" s="100"/>
      <c r="G19" s="100"/>
      <c r="H19" s="100"/>
      <c r="I19" s="100"/>
      <c r="J19" s="100"/>
      <c r="K19" s="100"/>
      <c r="M19" s="120"/>
      <c r="N19" s="2">
        <v>0.35</v>
      </c>
      <c r="O19" s="45">
        <f>N19*D46</f>
        <v>144.89999999999998</v>
      </c>
      <c r="P19" s="38">
        <f>D13</f>
        <v>0.0035</v>
      </c>
      <c r="Q19" s="34">
        <f>P19*(D46-O19)/O19</f>
        <v>0.0065000000000000014</v>
      </c>
      <c r="R19" s="34">
        <f>P19*(D43-O19)/O19</f>
        <v>-0.002630434782608696</v>
      </c>
      <c r="S19" s="31">
        <f>0.85*D1</f>
        <v>13.228124999999999</v>
      </c>
      <c r="T19" s="39">
        <f>D8</f>
        <v>326.0869565217392</v>
      </c>
      <c r="U19" s="39">
        <f>MAX(R19*D31,-D5)</f>
        <v>-326.0869565217392</v>
      </c>
      <c r="V19" s="45">
        <f>(S19*D52*0.8*O19)-((D38*T19)+(D36*U19))</f>
        <v>690031.9124999997</v>
      </c>
      <c r="W19" s="45">
        <f>((S19*D52*0.8*O19)*((0.5*(D46+D40))-(0.4*O19)))+(((D38*T19)-(D36*U19))*0.5*(D46-D43))</f>
        <v>164813800.22921738</v>
      </c>
      <c r="X19" s="18">
        <f t="shared" si="0"/>
        <v>690.0319124999997</v>
      </c>
      <c r="Y19" s="19">
        <f t="shared" si="1"/>
        <v>164.81380022921738</v>
      </c>
      <c r="Z19" s="103"/>
      <c r="AA19" s="103"/>
      <c r="AB19" s="103"/>
      <c r="AC19" s="103"/>
      <c r="AD19" s="103"/>
      <c r="AE19" s="103"/>
      <c r="AF19" s="103"/>
    </row>
    <row r="20" spans="1:32" ht="12.75">
      <c r="A20" s="177"/>
      <c r="B20" s="139"/>
      <c r="C20" s="165"/>
      <c r="D20" s="174"/>
      <c r="E20" s="100"/>
      <c r="F20" s="100"/>
      <c r="G20" s="100"/>
      <c r="H20" s="100"/>
      <c r="I20" s="100"/>
      <c r="J20" s="100"/>
      <c r="K20" s="100"/>
      <c r="M20" s="120"/>
      <c r="N20" s="8">
        <v>0.4</v>
      </c>
      <c r="O20" s="45">
        <f>N20*D46</f>
        <v>165.60000000000002</v>
      </c>
      <c r="P20" s="38">
        <f>D13</f>
        <v>0.0035</v>
      </c>
      <c r="Q20" s="34">
        <f>P20*(D46-O20)/O20</f>
        <v>0.005249999999999999</v>
      </c>
      <c r="R20" s="34">
        <f>P20*(D43-O20)/O20</f>
        <v>-0.002739130434782609</v>
      </c>
      <c r="S20" s="31">
        <f>0.85*D1</f>
        <v>13.228124999999999</v>
      </c>
      <c r="T20" s="39">
        <f>D8</f>
        <v>326.0869565217392</v>
      </c>
      <c r="U20" s="39">
        <f>MAX(R20*D31,-D5)</f>
        <v>-326.0869565217392</v>
      </c>
      <c r="V20" s="45">
        <f>(S20*D52*0.8*O20)-((D38*T20)+(D36*U20))</f>
        <v>788607.8999999999</v>
      </c>
      <c r="W20" s="45">
        <f>((S20*D52*0.8*O20)*((0.5*(D46+D40))-(0.4*O20)))+(((D38*T20)-(D36*U20))*0.5*(D46-D43))</f>
        <v>174750259.76921737</v>
      </c>
      <c r="X20" s="18">
        <f t="shared" si="0"/>
        <v>788.6078999999999</v>
      </c>
      <c r="Y20" s="19">
        <f t="shared" si="1"/>
        <v>174.75025976921737</v>
      </c>
      <c r="Z20" s="103"/>
      <c r="AA20" s="103"/>
      <c r="AB20" s="103"/>
      <c r="AC20" s="103"/>
      <c r="AD20" s="103"/>
      <c r="AE20" s="103"/>
      <c r="AF20" s="103"/>
    </row>
    <row r="21" spans="1:32" ht="12.75">
      <c r="A21" s="177"/>
      <c r="B21" s="139"/>
      <c r="C21" s="166"/>
      <c r="D21" s="175"/>
      <c r="E21" s="100"/>
      <c r="F21" s="100"/>
      <c r="G21" s="100"/>
      <c r="H21" s="100"/>
      <c r="I21" s="100"/>
      <c r="J21" s="100"/>
      <c r="K21" s="100"/>
      <c r="M21" s="120"/>
      <c r="N21" s="2">
        <v>0.45</v>
      </c>
      <c r="O21" s="45">
        <f>N21*D46</f>
        <v>186.3</v>
      </c>
      <c r="P21" s="38">
        <f>D13</f>
        <v>0.0035</v>
      </c>
      <c r="Q21" s="34">
        <f>P21*(D46-O21)/O21</f>
        <v>0.004277777777777777</v>
      </c>
      <c r="R21" s="34">
        <f>P21*(D43-O21)/O21</f>
        <v>-0.002823671497584541</v>
      </c>
      <c r="S21" s="31">
        <f>0.85*D1</f>
        <v>13.228124999999999</v>
      </c>
      <c r="T21" s="39">
        <f>D8</f>
        <v>326.0869565217392</v>
      </c>
      <c r="U21" s="39">
        <f>MAX(R21*D31,-D5)</f>
        <v>-326.0869565217392</v>
      </c>
      <c r="V21" s="45">
        <f>(S21*D52*0.8*O21)-((D38*T21)+(D36*U21))</f>
        <v>887183.8874999998</v>
      </c>
      <c r="W21" s="45">
        <f>((S21*D52*0.8*O21)*((0.5*(D46+D40))-(0.4*O21)))+(((D38*T21)-(D36*U21))*0.5*(D46-D43))</f>
        <v>183054300.95621738</v>
      </c>
      <c r="X21" s="18">
        <f t="shared" si="0"/>
        <v>887.1838874999999</v>
      </c>
      <c r="Y21" s="19">
        <f t="shared" si="1"/>
        <v>183.0543009562174</v>
      </c>
      <c r="Z21" s="103"/>
      <c r="AA21" s="103"/>
      <c r="AB21" s="103"/>
      <c r="AC21" s="103"/>
      <c r="AD21" s="103"/>
      <c r="AE21" s="103"/>
      <c r="AF21" s="103"/>
    </row>
    <row r="22" spans="1:32" ht="12.75">
      <c r="A22" s="177"/>
      <c r="B22" s="139"/>
      <c r="C22" s="164" t="s">
        <v>27</v>
      </c>
      <c r="D22" s="179">
        <f>D5/D31</f>
        <v>0.001582946390882229</v>
      </c>
      <c r="E22" s="100"/>
      <c r="F22" s="100"/>
      <c r="G22" s="100"/>
      <c r="H22" s="100"/>
      <c r="I22" s="100"/>
      <c r="J22" s="100"/>
      <c r="K22" s="100"/>
      <c r="M22" s="120"/>
      <c r="N22" s="8">
        <v>0.5</v>
      </c>
      <c r="O22" s="45">
        <f>N22*D46</f>
        <v>207</v>
      </c>
      <c r="P22" s="38">
        <f>D13</f>
        <v>0.0035</v>
      </c>
      <c r="Q22" s="34">
        <f>P22*(D46-O22)/O22</f>
        <v>0.0035</v>
      </c>
      <c r="R22" s="34">
        <f>P22*(D43-O22)/O22</f>
        <v>-0.0028913043478260873</v>
      </c>
      <c r="S22" s="31">
        <f>0.85*D1</f>
        <v>13.228124999999999</v>
      </c>
      <c r="T22" s="39">
        <f>D8</f>
        <v>326.0869565217392</v>
      </c>
      <c r="U22" s="39">
        <f>MAX(R22*D31,-D5)</f>
        <v>-326.0869565217392</v>
      </c>
      <c r="V22" s="45">
        <f>(S22*D52*0.8*O22)-((D38*T22)+(D36*U22))</f>
        <v>985759.8749999998</v>
      </c>
      <c r="W22" s="45">
        <f>((S22*D52*0.8*O22)*((0.5*(D46+D40))-(0.4*O22)))+(((D38*T22)-(D36*U22))*0.5*(D46-D43))</f>
        <v>189725923.79021737</v>
      </c>
      <c r="X22" s="18">
        <f t="shared" si="0"/>
        <v>985.7598749999997</v>
      </c>
      <c r="Y22" s="19">
        <f t="shared" si="1"/>
        <v>189.72592379021737</v>
      </c>
      <c r="Z22" s="103"/>
      <c r="AA22" s="103"/>
      <c r="AB22" s="103"/>
      <c r="AC22" s="103"/>
      <c r="AD22" s="103"/>
      <c r="AE22" s="103"/>
      <c r="AF22" s="103"/>
    </row>
    <row r="23" spans="1:32" ht="12.75">
      <c r="A23" s="177"/>
      <c r="B23" s="139"/>
      <c r="C23" s="165"/>
      <c r="D23" s="174"/>
      <c r="E23" s="100"/>
      <c r="F23" s="100"/>
      <c r="G23" s="100"/>
      <c r="H23" s="100"/>
      <c r="I23" s="100"/>
      <c r="J23" s="100"/>
      <c r="K23" s="100"/>
      <c r="M23" s="120"/>
      <c r="N23" s="2">
        <v>0.55</v>
      </c>
      <c r="O23" s="45">
        <f>N23*D46</f>
        <v>227.70000000000002</v>
      </c>
      <c r="P23" s="38">
        <f>D13</f>
        <v>0.0035</v>
      </c>
      <c r="Q23" s="34">
        <f>P23*(D46-O23)/O23</f>
        <v>0.002863636363636363</v>
      </c>
      <c r="R23" s="34">
        <f>P23*(D43-O23)/O23</f>
        <v>-0.0029466403162055335</v>
      </c>
      <c r="S23" s="31">
        <f>0.85*D1</f>
        <v>13.228124999999999</v>
      </c>
      <c r="T23" s="39">
        <f>D8</f>
        <v>326.0869565217392</v>
      </c>
      <c r="U23" s="39">
        <f>MAX(R23*D31,-D5)</f>
        <v>-326.0869565217392</v>
      </c>
      <c r="V23" s="45">
        <f>(S23*D52*0.8*O23)-((D38*T23)+(D36*U23))</f>
        <v>1084335.8624999998</v>
      </c>
      <c r="W23" s="45">
        <f>((S23*D52*0.8*O23)*((0.5*(D46+D40))-(0.4*O23)))+(((D38*T23)-(D36*U23))*0.5*(D46-D43))</f>
        <v>194765128.27121738</v>
      </c>
      <c r="X23" s="18">
        <f t="shared" si="0"/>
        <v>1084.3358624999998</v>
      </c>
      <c r="Y23" s="19">
        <f t="shared" si="1"/>
        <v>194.76512827121738</v>
      </c>
      <c r="Z23" s="103"/>
      <c r="AA23" s="103"/>
      <c r="AB23" s="103"/>
      <c r="AC23" s="103"/>
      <c r="AD23" s="103"/>
      <c r="AE23" s="103"/>
      <c r="AF23" s="103"/>
    </row>
    <row r="24" spans="1:32" ht="12.75">
      <c r="A24" s="177"/>
      <c r="B24" s="139"/>
      <c r="C24" s="166"/>
      <c r="D24" s="175"/>
      <c r="E24" s="100"/>
      <c r="F24" s="100"/>
      <c r="G24" s="100"/>
      <c r="H24" s="100"/>
      <c r="I24" s="100"/>
      <c r="J24" s="100"/>
      <c r="K24" s="100"/>
      <c r="M24" s="120"/>
      <c r="N24" s="8">
        <v>0.6</v>
      </c>
      <c r="O24" s="45">
        <f>N24*D46</f>
        <v>248.39999999999998</v>
      </c>
      <c r="P24" s="38">
        <f>D13</f>
        <v>0.0035</v>
      </c>
      <c r="Q24" s="34">
        <f>P24*(D46-O24)/O24</f>
        <v>0.002333333333333334</v>
      </c>
      <c r="R24" s="34">
        <f>P24*(D43-O24)/O24</f>
        <v>-0.0029927536231884057</v>
      </c>
      <c r="S24" s="31">
        <f>0.85*D1</f>
        <v>13.228124999999999</v>
      </c>
      <c r="T24" s="39">
        <f>D8</f>
        <v>326.0869565217392</v>
      </c>
      <c r="U24" s="39">
        <f>MAX(R24*D31,-D5)</f>
        <v>-326.0869565217392</v>
      </c>
      <c r="V24" s="45">
        <f>(S24*D52*0.8*O24)-((D38*T24)+(D36*U24))</f>
        <v>1182911.8499999996</v>
      </c>
      <c r="W24" s="45">
        <f>((S24*D52*0.8*O24)*((0.5*(D46+D40))-(0.4*O24)))+(((D38*T24)-(D36*U24))*0.5*(D46-D43))</f>
        <v>198171914.39921737</v>
      </c>
      <c r="X24" s="18">
        <f t="shared" si="0"/>
        <v>1182.9118499999997</v>
      </c>
      <c r="Y24" s="19">
        <f t="shared" si="1"/>
        <v>198.17191439921737</v>
      </c>
      <c r="Z24" s="103"/>
      <c r="AA24" s="103"/>
      <c r="AB24" s="103"/>
      <c r="AC24" s="103"/>
      <c r="AD24" s="103"/>
      <c r="AE24" s="103"/>
      <c r="AF24" s="103"/>
    </row>
    <row r="25" spans="1:32" ht="12.75">
      <c r="A25" s="177"/>
      <c r="B25" s="139"/>
      <c r="C25" s="164" t="s">
        <v>28</v>
      </c>
      <c r="D25" s="179">
        <v>0.01</v>
      </c>
      <c r="E25" s="100"/>
      <c r="F25" s="100"/>
      <c r="G25" s="100"/>
      <c r="H25" s="100"/>
      <c r="I25" s="100"/>
      <c r="J25" s="100"/>
      <c r="K25" s="100"/>
      <c r="M25" s="120"/>
      <c r="N25" s="2">
        <v>0.65</v>
      </c>
      <c r="O25" s="45">
        <f>N25*D46</f>
        <v>269.1</v>
      </c>
      <c r="P25" s="38">
        <f>D13</f>
        <v>0.0035</v>
      </c>
      <c r="Q25" s="34">
        <f>P25*(D46-O25)/O25</f>
        <v>0.001884615384615384</v>
      </c>
      <c r="R25" s="34">
        <f>P25*(D43-O25)/O25</f>
        <v>-0.003031772575250836</v>
      </c>
      <c r="S25" s="31">
        <f>0.85*D1</f>
        <v>13.228124999999999</v>
      </c>
      <c r="T25" s="39">
        <f>D8</f>
        <v>326.0869565217392</v>
      </c>
      <c r="U25" s="39">
        <f>MAX(R25*D31,-D5)</f>
        <v>-326.0869565217392</v>
      </c>
      <c r="V25" s="45">
        <f>(S25*D52*0.8*O25)-((D38*T25)+(D36*U25))</f>
        <v>1281487.8375</v>
      </c>
      <c r="W25" s="45">
        <f>((S25*D52*0.8*O25)*((0.5*(D46+D40))-(0.4*O25)))+(((D38*T25)-(D36*U25))*0.5*(D46-D43))</f>
        <v>199946282.17421737</v>
      </c>
      <c r="X25" s="18">
        <f t="shared" si="0"/>
        <v>1281.4878374999998</v>
      </c>
      <c r="Y25" s="19">
        <f t="shared" si="1"/>
        <v>199.94628217421737</v>
      </c>
      <c r="Z25" s="103"/>
      <c r="AA25" s="103"/>
      <c r="AB25" s="102"/>
      <c r="AC25" s="102"/>
      <c r="AD25" s="102"/>
      <c r="AE25" s="102"/>
      <c r="AF25" s="102"/>
    </row>
    <row r="26" spans="1:32" ht="12.75">
      <c r="A26" s="177"/>
      <c r="B26" s="139"/>
      <c r="C26" s="165"/>
      <c r="D26" s="174"/>
      <c r="E26" s="100"/>
      <c r="F26" s="100"/>
      <c r="G26" s="100"/>
      <c r="H26" s="100"/>
      <c r="I26" s="100"/>
      <c r="J26" s="100"/>
      <c r="K26" s="100"/>
      <c r="M26" s="11"/>
      <c r="N26" s="14">
        <f>1/(1+D28/D13)</f>
        <v>0.6885770045260142</v>
      </c>
      <c r="O26" s="15">
        <f>N26*D46</f>
        <v>285.0708798737699</v>
      </c>
      <c r="P26" s="46">
        <f>D13</f>
        <v>0.0035</v>
      </c>
      <c r="Q26" s="61">
        <f>P26*(D46-O26)/O26</f>
        <v>0.0015829463908822283</v>
      </c>
      <c r="R26" s="35">
        <f>P26*(D43-O26)/O26</f>
        <v>-0.003058004661662415</v>
      </c>
      <c r="S26" s="15">
        <f>0.85*D1</f>
        <v>13.228124999999999</v>
      </c>
      <c r="T26" s="15">
        <f>Q26*D31</f>
        <v>326.086956521739</v>
      </c>
      <c r="U26" s="15">
        <f>MAX(R26*D31,-D5)</f>
        <v>-326.0869565217392</v>
      </c>
      <c r="V26" s="37">
        <f>(S26*D52*0.8*O26)-((D38*T26)+(D36*U26))</f>
        <v>1357543.1638188763</v>
      </c>
      <c r="W26" s="37">
        <f>((S26*D52*0.8*O26)*((0.5*(D46+D40))-(0.4*O26)))+(((D38*T26)-(D36*U26))*0.5*(D46-D43))</f>
        <v>200199671.75387716</v>
      </c>
      <c r="X26" s="20">
        <f t="shared" si="0"/>
        <v>1357.5431638188763</v>
      </c>
      <c r="Y26" s="21">
        <f t="shared" si="1"/>
        <v>200.19967175387717</v>
      </c>
      <c r="Z26" s="103"/>
      <c r="AA26" s="103"/>
      <c r="AB26" s="103"/>
      <c r="AC26" s="102"/>
      <c r="AD26" s="102"/>
      <c r="AE26" s="102"/>
      <c r="AF26" s="102"/>
    </row>
    <row r="27" spans="1:32" ht="12.75">
      <c r="A27" s="177"/>
      <c r="B27" s="139"/>
      <c r="C27" s="166"/>
      <c r="D27" s="175"/>
      <c r="E27" s="100"/>
      <c r="F27" s="100"/>
      <c r="G27" s="100"/>
      <c r="H27" s="100"/>
      <c r="I27" s="100"/>
      <c r="J27" s="100"/>
      <c r="K27" s="100"/>
      <c r="M27" s="120">
        <v>4</v>
      </c>
      <c r="N27" s="8">
        <v>0.7</v>
      </c>
      <c r="O27" s="45">
        <f>N27*D46</f>
        <v>289.79999999999995</v>
      </c>
      <c r="P27" s="38">
        <f>D13</f>
        <v>0.0035</v>
      </c>
      <c r="Q27" s="34">
        <f>P27*(D46-O27)/O27</f>
        <v>0.0015000000000000007</v>
      </c>
      <c r="R27" s="34">
        <f>P27*(D43-O27)/O27</f>
        <v>-0.0030652173913043477</v>
      </c>
      <c r="S27" s="31">
        <f>0.85*D1</f>
        <v>13.228124999999999</v>
      </c>
      <c r="T27" s="31">
        <f>Q27*D31</f>
        <v>309.0000000000001</v>
      </c>
      <c r="U27" s="39">
        <f>MAX(R27*D31,-D5)</f>
        <v>-326.0869565217392</v>
      </c>
      <c r="V27" s="45">
        <f>(S27*D52*0.8*O27)-((D38*T27)+(D36*U27))</f>
        <v>1386932.7815217385</v>
      </c>
      <c r="W27" s="45">
        <f>((S27*D52*0.8*O27)*((0.5*(D46+D40))-(0.4*O27)))+(((D38*T27)-(D36*U27))*0.5*(D46-D43))</f>
        <v>198789998.81360868</v>
      </c>
      <c r="X27" s="18">
        <f t="shared" si="0"/>
        <v>1386.9327815217384</v>
      </c>
      <c r="Y27" s="19">
        <f t="shared" si="1"/>
        <v>198.7899988136087</v>
      </c>
      <c r="Z27" s="103"/>
      <c r="AA27" s="103"/>
      <c r="AB27" s="102"/>
      <c r="AC27" s="102"/>
      <c r="AD27" s="102"/>
      <c r="AE27" s="102"/>
      <c r="AF27" s="102"/>
    </row>
    <row r="28" spans="1:32" ht="12.75">
      <c r="A28" s="177"/>
      <c r="B28" s="139"/>
      <c r="C28" s="164" t="s">
        <v>29</v>
      </c>
      <c r="D28" s="179">
        <f>D8/D31</f>
        <v>0.001582946390882229</v>
      </c>
      <c r="E28" s="100"/>
      <c r="F28" s="100"/>
      <c r="G28" s="100"/>
      <c r="H28" s="100"/>
      <c r="I28" s="100"/>
      <c r="J28" s="100"/>
      <c r="K28" s="100"/>
      <c r="M28" s="120"/>
      <c r="N28" s="2">
        <v>0.75</v>
      </c>
      <c r="O28" s="45">
        <f>N28*D46</f>
        <v>310.5</v>
      </c>
      <c r="P28" s="38">
        <f>D13</f>
        <v>0.0035</v>
      </c>
      <c r="Q28" s="34">
        <f>P28*(D46-O28)/O28</f>
        <v>0.0011666666666666668</v>
      </c>
      <c r="R28" s="34">
        <f>P28*(D43-O28)/O28</f>
        <v>-0.0030942028985507246</v>
      </c>
      <c r="S28" s="31">
        <f>0.85*D1</f>
        <v>13.228124999999999</v>
      </c>
      <c r="T28" s="31">
        <f>Q28*D31</f>
        <v>240.33333333333334</v>
      </c>
      <c r="U28" s="39">
        <f>MAX(R28*D31,-D5)</f>
        <v>-326.0869565217392</v>
      </c>
      <c r="V28" s="45">
        <f>(S28*D52*0.8*O28)-((D38*T28)+(D36*U28))</f>
        <v>1513112.769021739</v>
      </c>
      <c r="W28" s="45">
        <f>((S28*D52*0.8*O28)*((0.5*(D46+D40))-(0.4*O28)))+(((D38*T28)-(D36*U28))*0.5*(D46-D43))</f>
        <v>192082373.88260865</v>
      </c>
      <c r="X28" s="18">
        <f t="shared" si="0"/>
        <v>1513.112769021739</v>
      </c>
      <c r="Y28" s="19">
        <f t="shared" si="1"/>
        <v>192.08237388260866</v>
      </c>
      <c r="Z28" s="103"/>
      <c r="AA28" s="103"/>
      <c r="AB28" s="102"/>
      <c r="AC28" s="9"/>
      <c r="AD28" s="9"/>
      <c r="AE28" s="9"/>
      <c r="AF28" s="9"/>
    </row>
    <row r="29" spans="1:32" ht="12.75">
      <c r="A29" s="177"/>
      <c r="B29" s="139"/>
      <c r="C29" s="165"/>
      <c r="D29" s="174"/>
      <c r="E29" s="100"/>
      <c r="F29" s="100"/>
      <c r="G29" s="99"/>
      <c r="H29" s="99"/>
      <c r="I29" s="99"/>
      <c r="J29" s="100"/>
      <c r="K29" s="100"/>
      <c r="M29" s="120"/>
      <c r="N29" s="8">
        <v>0.8</v>
      </c>
      <c r="O29" s="45">
        <f>N29*D46</f>
        <v>331.20000000000005</v>
      </c>
      <c r="P29" s="38">
        <f>D13</f>
        <v>0.0035</v>
      </c>
      <c r="Q29" s="34">
        <f>P29*(D46-O29)/O29</f>
        <v>0.0008749999999999994</v>
      </c>
      <c r="R29" s="34">
        <f>P29*(D43-O29)/O29</f>
        <v>-0.003119565217391304</v>
      </c>
      <c r="S29" s="31">
        <f>0.85*D1</f>
        <v>13.228124999999999</v>
      </c>
      <c r="T29" s="31">
        <f>Q29*D31</f>
        <v>180.24999999999986</v>
      </c>
      <c r="U29" s="39">
        <f>MAX(R29*D31,-D5)</f>
        <v>-326.0869565217392</v>
      </c>
      <c r="V29" s="45">
        <f>(S29*D52*0.8*O29)-((D38*T29)+(D36*U29))</f>
        <v>1635842.256521739</v>
      </c>
      <c r="W29" s="45">
        <f>((S29*D52*0.8*O29)*((0.5*(D46+D40))-(0.4*O29)))+(((D38*T29)-(D36*U29))*0.5*(D46-D43))</f>
        <v>184394475.09860864</v>
      </c>
      <c r="X29" s="18">
        <f t="shared" si="0"/>
        <v>1635.842256521739</v>
      </c>
      <c r="Y29" s="19">
        <f t="shared" si="1"/>
        <v>184.39447509860864</v>
      </c>
      <c r="Z29" s="103"/>
      <c r="AA29" s="103"/>
      <c r="AB29" s="102"/>
      <c r="AC29" s="102"/>
      <c r="AD29" s="102"/>
      <c r="AE29" s="102"/>
      <c r="AF29" s="102"/>
    </row>
    <row r="30" spans="1:32" ht="12.75">
      <c r="A30" s="177"/>
      <c r="B30" s="156"/>
      <c r="C30" s="166"/>
      <c r="D30" s="175"/>
      <c r="E30" s="100"/>
      <c r="F30" s="100"/>
      <c r="G30" s="99"/>
      <c r="H30" s="99"/>
      <c r="I30" s="99"/>
      <c r="J30" s="100"/>
      <c r="K30" s="100"/>
      <c r="M30" s="120"/>
      <c r="N30" s="2">
        <v>0.85</v>
      </c>
      <c r="O30" s="45">
        <f>N30*D46</f>
        <v>351.9</v>
      </c>
      <c r="P30" s="38">
        <f>D13</f>
        <v>0.0035</v>
      </c>
      <c r="Q30" s="34">
        <f>P30*(D46-O30)/O30</f>
        <v>0.0006176470588235296</v>
      </c>
      <c r="R30" s="34">
        <f>P30*(D43-O30)/O30</f>
        <v>-0.0031419437340153454</v>
      </c>
      <c r="S30" s="31">
        <f>0.85*D1</f>
        <v>13.228124999999999</v>
      </c>
      <c r="T30" s="31">
        <f>Q30*D31</f>
        <v>127.2352941176471</v>
      </c>
      <c r="U30" s="39">
        <f>MAX(R30*D31,-D5)</f>
        <v>-326.0869565217392</v>
      </c>
      <c r="V30" s="45">
        <f>(S30*D52*0.8*O30)-((D38*T30)+(D36*U30))</f>
        <v>1755730.1557864447</v>
      </c>
      <c r="W30" s="45">
        <f>((S30*D52*0.8*O30)*((0.5*(D46+D40))-(0.4*O30)))+(((D38*T30)-(D36*U30))*0.5*(D46-D43))</f>
        <v>175611218.1380793</v>
      </c>
      <c r="X30" s="18">
        <f t="shared" si="0"/>
        <v>1755.7301557864446</v>
      </c>
      <c r="Y30" s="19">
        <f t="shared" si="1"/>
        <v>175.6112181380793</v>
      </c>
      <c r="Z30" s="103"/>
      <c r="AA30" s="103"/>
      <c r="AB30" s="102"/>
      <c r="AC30" s="102"/>
      <c r="AD30" s="102"/>
      <c r="AE30" s="102"/>
      <c r="AF30" s="102"/>
    </row>
    <row r="31" spans="1:32" ht="12.75">
      <c r="A31" s="177"/>
      <c r="B31" s="138" t="s">
        <v>17</v>
      </c>
      <c r="C31" s="197" t="s">
        <v>30</v>
      </c>
      <c r="D31" s="162">
        <v>206000</v>
      </c>
      <c r="E31" s="99"/>
      <c r="F31" s="99"/>
      <c r="G31" s="99"/>
      <c r="H31" s="99"/>
      <c r="I31" s="99"/>
      <c r="J31" s="99"/>
      <c r="K31" s="99"/>
      <c r="M31" s="120"/>
      <c r="N31" s="8">
        <v>0.9</v>
      </c>
      <c r="O31" s="45">
        <f>N31*D46</f>
        <v>372.6</v>
      </c>
      <c r="P31" s="38">
        <f>D13</f>
        <v>0.0035</v>
      </c>
      <c r="Q31" s="34">
        <f>P31*(D46-O31)/O31</f>
        <v>0.00038888888888888865</v>
      </c>
      <c r="R31" s="34">
        <f>P31*(D43-O31)/O31</f>
        <v>-0.003161835748792271</v>
      </c>
      <c r="S31" s="31">
        <f>0.85*D1</f>
        <v>13.228124999999999</v>
      </c>
      <c r="T31" s="31">
        <f>Q31*D31</f>
        <v>80.11111111111106</v>
      </c>
      <c r="U31" s="39">
        <f>MAX(R31*D31,-D5)</f>
        <v>-326.0869565217392</v>
      </c>
      <c r="V31" s="45">
        <f>(S31*D52*0.8*O31)-((D38*T31)+(D36*U31))</f>
        <v>1873250.0648550722</v>
      </c>
      <c r="W31" s="45">
        <f>((S31*D52*0.8*O31)*((0.5*(D46+D40))-(0.4*O31)))+(((D38*T31)-(D36*U31))*0.5*(D46-D43))</f>
        <v>165643092.97160864</v>
      </c>
      <c r="X31" s="18">
        <f t="shared" si="0"/>
        <v>1873.2500648550722</v>
      </c>
      <c r="Y31" s="19">
        <f t="shared" si="1"/>
        <v>165.64309297160864</v>
      </c>
      <c r="Z31" s="103"/>
      <c r="AA31" s="103"/>
      <c r="AB31" s="102"/>
      <c r="AC31" s="102"/>
      <c r="AD31" s="102"/>
      <c r="AE31" s="102"/>
      <c r="AF31" s="102"/>
    </row>
    <row r="32" spans="1:32" ht="12.75">
      <c r="A32" s="177"/>
      <c r="B32" s="139"/>
      <c r="C32" s="198"/>
      <c r="D32" s="182"/>
      <c r="E32" s="99"/>
      <c r="F32" s="99"/>
      <c r="G32" s="99"/>
      <c r="H32" s="99"/>
      <c r="I32" s="99"/>
      <c r="J32" s="99"/>
      <c r="K32" s="99"/>
      <c r="M32" s="120"/>
      <c r="N32" s="2">
        <v>0.95</v>
      </c>
      <c r="O32" s="45">
        <f>N32*D46</f>
        <v>393.29999999999995</v>
      </c>
      <c r="P32" s="38">
        <f>D13</f>
        <v>0.0035</v>
      </c>
      <c r="Q32" s="34">
        <f>P32*(D46-O32)/O32</f>
        <v>0.00018421052631578991</v>
      </c>
      <c r="R32" s="34">
        <f>P32*(D43-O32)/O32</f>
        <v>-0.0031796338672768877</v>
      </c>
      <c r="S32" s="31">
        <f>0.85*D1</f>
        <v>13.228124999999999</v>
      </c>
      <c r="T32" s="31">
        <f>Q32*D31</f>
        <v>37.94736842105272</v>
      </c>
      <c r="U32" s="39">
        <f>MAX(R32*D31,-D5)</f>
        <v>-326.0869565217392</v>
      </c>
      <c r="V32" s="45">
        <f>(S32*D52*0.8*O32)-((D38*T32)+(D36*U32))</f>
        <v>1988775.8769164754</v>
      </c>
      <c r="W32" s="45">
        <f>((S32*D52*0.8*O32)*((0.5*(D46+D40))-(0.4*O32)))+(((D38*T32)-(D36*U32))*0.5*(D46-D43))</f>
        <v>154419433.78650343</v>
      </c>
      <c r="X32" s="18">
        <f t="shared" si="0"/>
        <v>1988.7758769164755</v>
      </c>
      <c r="Y32" s="19">
        <f t="shared" si="1"/>
        <v>154.41943378650345</v>
      </c>
      <c r="Z32" s="103"/>
      <c r="AA32" s="102"/>
      <c r="AB32" s="102"/>
      <c r="AC32" s="102"/>
      <c r="AD32" s="102"/>
      <c r="AE32" s="102"/>
      <c r="AF32" s="102"/>
    </row>
    <row r="33" spans="1:32" ht="12.75">
      <c r="A33" s="177"/>
      <c r="B33" s="139"/>
      <c r="C33" s="198"/>
      <c r="D33" s="182"/>
      <c r="E33" s="99"/>
      <c r="F33" s="99"/>
      <c r="G33" s="99"/>
      <c r="H33" s="99"/>
      <c r="I33" s="99"/>
      <c r="J33" s="99"/>
      <c r="K33" s="99"/>
      <c r="M33" s="11"/>
      <c r="N33" s="12">
        <f>O33/D46</f>
        <v>1</v>
      </c>
      <c r="O33" s="13">
        <f>D46</f>
        <v>414</v>
      </c>
      <c r="P33" s="46">
        <f>D13</f>
        <v>0.0035</v>
      </c>
      <c r="Q33" s="62">
        <f>P33*(D46-O33)/O33</f>
        <v>0</v>
      </c>
      <c r="R33" s="35">
        <f>P33*(D43-O33)/O33</f>
        <v>-0.0031956521739130435</v>
      </c>
      <c r="S33" s="15">
        <f>0.85*D1</f>
        <v>13.228124999999999</v>
      </c>
      <c r="T33" s="15">
        <f>Q33*D31</f>
        <v>0</v>
      </c>
      <c r="U33" s="15">
        <f>MAX(R33*D31,-D5)</f>
        <v>-326.0869565217392</v>
      </c>
      <c r="V33" s="37">
        <f>(S33*D52*(MIN(D49,0.8*O33))-((D38*T33)+(D36*U33)))</f>
        <v>2102606.7065217393</v>
      </c>
      <c r="W33" s="37">
        <f>((S33*D52*(MIN(D49,0.8*O33))*((0.5*(D46+D40))-(MIN(D49/2,0.4*O33)))+(((D38*T33)-(D36*U33))*0.5*(D46-D43))))</f>
        <v>141883707.93260866</v>
      </c>
      <c r="X33" s="20">
        <f t="shared" si="0"/>
        <v>2102.6067065217394</v>
      </c>
      <c r="Y33" s="21">
        <f t="shared" si="1"/>
        <v>141.88370793260867</v>
      </c>
      <c r="Z33" s="103"/>
      <c r="AA33" s="103"/>
      <c r="AB33" s="102"/>
      <c r="AC33" s="103"/>
      <c r="AD33" s="103"/>
      <c r="AE33" s="103"/>
      <c r="AF33" s="103"/>
    </row>
    <row r="34" spans="1:32" ht="12.75">
      <c r="A34" s="177"/>
      <c r="B34" s="139"/>
      <c r="C34" s="198"/>
      <c r="D34" s="182"/>
      <c r="E34" s="99"/>
      <c r="F34" s="99"/>
      <c r="G34" s="99"/>
      <c r="H34" s="99"/>
      <c r="I34" s="99"/>
      <c r="J34" s="99"/>
      <c r="K34" s="99"/>
      <c r="M34" s="10">
        <v>5</v>
      </c>
      <c r="N34" s="2">
        <v>1.05</v>
      </c>
      <c r="O34" s="7">
        <f>N34*D46</f>
        <v>434.70000000000005</v>
      </c>
      <c r="P34" s="47">
        <f>D13</f>
        <v>0.0035</v>
      </c>
      <c r="Q34" s="48">
        <f>P34*(D46-O34)/O34</f>
        <v>-0.00016666666666666704</v>
      </c>
      <c r="R34" s="48">
        <f>P34*(D43-O34)/O34</f>
        <v>-0.0032101449275362317</v>
      </c>
      <c r="S34" s="39">
        <f>0.85*D1</f>
        <v>13.228124999999999</v>
      </c>
      <c r="T34" s="39">
        <f>Q34*D31</f>
        <v>-34.333333333333414</v>
      </c>
      <c r="U34" s="39">
        <f>MAX(R34*D31,-D5)</f>
        <v>-326.0869565217392</v>
      </c>
      <c r="V34" s="45">
        <f>(S34*D52*(MIN(D49,0.8*O34))-((D38*T34)+(D36*U34)))</f>
        <v>2214984.694021739</v>
      </c>
      <c r="W34" s="45">
        <f>((S34*D52*(MIN(D49,0.8*O34))*((0.5*(D46+D40))-(MIN(D49/2,0.4*O34)))+(((D38*T34)-(D36*U34))*0.5*(D46-D43))))</f>
        <v>127990150.88360864</v>
      </c>
      <c r="X34" s="18">
        <f t="shared" si="0"/>
        <v>2214.984694021739</v>
      </c>
      <c r="Y34" s="19">
        <f t="shared" si="1"/>
        <v>127.99015088360864</v>
      </c>
      <c r="Z34" s="103"/>
      <c r="AA34" s="103"/>
      <c r="AB34" s="103"/>
      <c r="AC34" s="103"/>
      <c r="AD34" s="103"/>
      <c r="AE34" s="103"/>
      <c r="AF34" s="103"/>
    </row>
    <row r="35" spans="1:32" ht="13.5" thickBot="1">
      <c r="A35" s="178"/>
      <c r="B35" s="140"/>
      <c r="C35" s="199"/>
      <c r="D35" s="183"/>
      <c r="E35" s="99"/>
      <c r="F35" s="99"/>
      <c r="G35" s="99"/>
      <c r="H35" s="99"/>
      <c r="I35" s="99"/>
      <c r="J35" s="99"/>
      <c r="K35" s="99"/>
      <c r="M35" s="11"/>
      <c r="N35" s="14">
        <f>O35/D46</f>
        <v>1.0869565217391304</v>
      </c>
      <c r="O35" s="13">
        <f>D49</f>
        <v>450</v>
      </c>
      <c r="P35" s="81">
        <f>D13</f>
        <v>0.0035</v>
      </c>
      <c r="Q35" s="35">
        <f>P35*(D46-O35)/O35</f>
        <v>-0.00028</v>
      </c>
      <c r="R35" s="35">
        <f>P35*(D43-O35)/O35</f>
        <v>-0.00322</v>
      </c>
      <c r="S35" s="15">
        <f>0.85*D1</f>
        <v>13.228124999999999</v>
      </c>
      <c r="T35" s="15">
        <f>Q35*D31</f>
        <v>-57.67999999999999</v>
      </c>
      <c r="U35" s="15">
        <f>MAX(R35*D31,-D5)</f>
        <v>-326.0869565217392</v>
      </c>
      <c r="V35" s="37">
        <f>(S35*D52*(MIN(D49,0.8*O35))-((D38*T35)+(D36*U35)))</f>
        <v>2297230.5665217387</v>
      </c>
      <c r="W35" s="37">
        <f>((S35*D52*(MIN(D49,0.8*O35))*((0.5*(D46+D40))-(MIN(D49/2,0.4*O35)))+(((D38*T35)-(D36*U35))*0.5*(D46-D43))))</f>
        <v>116826054.9926087</v>
      </c>
      <c r="X35" s="20">
        <f t="shared" si="0"/>
        <v>2297.2305665217386</v>
      </c>
      <c r="Y35" s="21">
        <f t="shared" si="1"/>
        <v>116.82605499260869</v>
      </c>
      <c r="Z35" s="103"/>
      <c r="AA35" s="103"/>
      <c r="AB35" s="103"/>
      <c r="AC35" s="103"/>
      <c r="AD35" s="103"/>
      <c r="AE35" s="103"/>
      <c r="AF35" s="103"/>
    </row>
    <row r="36" spans="1:32" ht="12.75">
      <c r="A36" s="176" t="s">
        <v>6</v>
      </c>
      <c r="B36" s="143" t="s">
        <v>31</v>
      </c>
      <c r="C36" s="143" t="s">
        <v>18</v>
      </c>
      <c r="D36" s="193">
        <v>402</v>
      </c>
      <c r="E36" s="99"/>
      <c r="F36" s="99"/>
      <c r="G36" s="99"/>
      <c r="H36" s="99"/>
      <c r="I36" s="99"/>
      <c r="J36" s="99"/>
      <c r="K36" s="99"/>
      <c r="M36" s="120">
        <v>6</v>
      </c>
      <c r="N36" s="8">
        <v>1.1</v>
      </c>
      <c r="O36" s="16">
        <f>N36*D46</f>
        <v>455.40000000000003</v>
      </c>
      <c r="P36" s="34">
        <f>D16*O36/(O36-((3/7)*D49))</f>
        <v>0.003469147894221351</v>
      </c>
      <c r="Q36" s="34">
        <f>-(D16-((D46-((3/7)*D49))*(P36-D16)/((3/7)*D49)))</f>
        <v>-0.0003153770812928504</v>
      </c>
      <c r="R36" s="34">
        <f>-(((P36-D16)*(((3/7)*D49)-D43)/((3/7)*D49))+D16)</f>
        <v>-0.003194906953966699</v>
      </c>
      <c r="S36" s="39">
        <f>0.85*D1</f>
        <v>13.228124999999999</v>
      </c>
      <c r="T36" s="31">
        <f>MAX(Q36*D31,-D8)</f>
        <v>-64.96767874632718</v>
      </c>
      <c r="U36" s="39">
        <f>MAX(R36*D31,-D5)</f>
        <v>-326.0869565217392</v>
      </c>
      <c r="V36" s="45">
        <f>(S36*D52*(MIN(D49,0.8*O36))-((D38*T36)+(D36*U36)))</f>
        <v>2325875.6883777627</v>
      </c>
      <c r="W36" s="45">
        <f>((S36*D52*(MIN(D49,0.8*O36))*((0.5*(D46+D40))-(MIN(D49/2,0.4*O36)))+(((D38*T36)-(D36*U36))*0.5*(D46-D43))))</f>
        <v>112745217.1858202</v>
      </c>
      <c r="X36" s="18">
        <f t="shared" si="0"/>
        <v>2325.875688377763</v>
      </c>
      <c r="Y36" s="19">
        <f t="shared" si="1"/>
        <v>112.74521718582021</v>
      </c>
      <c r="Z36" s="103"/>
      <c r="AA36" s="103"/>
      <c r="AB36" s="103"/>
      <c r="AC36" s="103"/>
      <c r="AD36" s="103"/>
      <c r="AE36" s="103"/>
      <c r="AF36" s="103"/>
    </row>
    <row r="37" spans="1:32" ht="12.75">
      <c r="A37" s="187"/>
      <c r="B37" s="158"/>
      <c r="C37" s="144"/>
      <c r="D37" s="191"/>
      <c r="E37" s="99"/>
      <c r="F37" s="99"/>
      <c r="G37" s="99"/>
      <c r="H37" s="99"/>
      <c r="I37" s="99"/>
      <c r="J37" s="99"/>
      <c r="K37" s="99"/>
      <c r="M37" s="120"/>
      <c r="N37" s="8">
        <v>1.2</v>
      </c>
      <c r="O37" s="16">
        <f>N37*D46</f>
        <v>496.79999999999995</v>
      </c>
      <c r="P37" s="34">
        <f>D16*O37/(O37-((3/7)*D49))</f>
        <v>0.003269035532994924</v>
      </c>
      <c r="Q37" s="34">
        <f>-(D16-((D46-((3/7)*D49))*(P37-D16)/((3/7)*D49)))</f>
        <v>-0.0005448392554991536</v>
      </c>
      <c r="R37" s="34">
        <f>-(((P37-D16)*(((3/7)*D49)-D43)/((3/7)*D49))+D16)</f>
        <v>-0.003032148900169205</v>
      </c>
      <c r="S37" s="39">
        <f>0.85*D1</f>
        <v>13.228124999999999</v>
      </c>
      <c r="T37" s="31">
        <f>MAX(Q37*D31,-D8)</f>
        <v>-112.23688663282564</v>
      </c>
      <c r="U37" s="39">
        <f>MAX(R37*D31,-D5)</f>
        <v>-326.0869565217392</v>
      </c>
      <c r="V37" s="45">
        <f>(S37*D52*(MIN(D49,0.8*O37))-((D38*T37)+(D36*U37)))</f>
        <v>2542029.884948135</v>
      </c>
      <c r="W37" s="45">
        <f>((S37*D52*(MIN(D49,0.8*O37))*((0.5*(D46+D40))-(MIN(D49/2,0.4*O37)))+(((D38*T37)-(D36*U37))*0.5*(D46-D43))))</f>
        <v>78421747.44601987</v>
      </c>
      <c r="X37" s="18">
        <f t="shared" si="0"/>
        <v>2542.029884948135</v>
      </c>
      <c r="Y37" s="19">
        <f t="shared" si="1"/>
        <v>78.42174744601988</v>
      </c>
      <c r="Z37" s="103"/>
      <c r="AA37" s="103"/>
      <c r="AB37" s="103"/>
      <c r="AC37" s="103"/>
      <c r="AD37" s="103"/>
      <c r="AE37" s="103"/>
      <c r="AF37" s="103"/>
    </row>
    <row r="38" spans="1:32" ht="12.75">
      <c r="A38" s="187"/>
      <c r="B38" s="158"/>
      <c r="C38" s="158" t="s">
        <v>2</v>
      </c>
      <c r="D38" s="182">
        <v>402</v>
      </c>
      <c r="E38" s="99"/>
      <c r="F38" s="99"/>
      <c r="G38" s="99"/>
      <c r="H38" s="99"/>
      <c r="I38" s="99"/>
      <c r="J38" s="99"/>
      <c r="K38" s="99"/>
      <c r="M38" s="120"/>
      <c r="N38" s="8">
        <v>1.3</v>
      </c>
      <c r="O38" s="16">
        <f>N38*D46</f>
        <v>538.2</v>
      </c>
      <c r="P38" s="34">
        <f>D16*O38/(O38-((3/7)*D49))</f>
        <v>0.0031169024571854054</v>
      </c>
      <c r="Q38" s="34">
        <f>-(D16-((D46-((3/7)*D49))*(P38-D16)/((3/7)*D49)))</f>
        <v>-0.0007192851824274016</v>
      </c>
      <c r="R38" s="34">
        <f>-(((P38-D16)*(((3/7)*D49)-D43)/((3/7)*D49))+D16)</f>
        <v>-0.0029084139985107965</v>
      </c>
      <c r="S38" s="39">
        <f>0.85*D1</f>
        <v>13.228124999999999</v>
      </c>
      <c r="T38" s="31">
        <f>MAX(Q38*D31,-D8)</f>
        <v>-148.17274758004473</v>
      </c>
      <c r="U38" s="39">
        <f>MAX(R38*D31,-D5)</f>
        <v>-326.0869565217392</v>
      </c>
      <c r="V38" s="45">
        <f>(S38*D52*(MIN(D49,0.8*O38))-((D38*T38)+(D36*U38)))</f>
        <v>2753628.076048917</v>
      </c>
      <c r="W38" s="45">
        <f>((S38*D52*(MIN(D49,0.8*O38))*((0.5*(D46+D40))-(MIN(D49/2,0.4*O38)))+(((D38*T38)-(D36*U38))*0.5*(D46-D43))))</f>
        <v>38429689.32797199</v>
      </c>
      <c r="X38" s="18">
        <f t="shared" si="0"/>
        <v>2753.628076048917</v>
      </c>
      <c r="Y38" s="19">
        <f t="shared" si="1"/>
        <v>38.429689327971985</v>
      </c>
      <c r="Z38" s="103"/>
      <c r="AA38" s="103"/>
      <c r="AB38" s="103"/>
      <c r="AC38" s="103"/>
      <c r="AD38" s="103"/>
      <c r="AE38" s="103"/>
      <c r="AF38" s="103"/>
    </row>
    <row r="39" spans="1:32" ht="13.5" thickBot="1">
      <c r="A39" s="187"/>
      <c r="B39" s="194"/>
      <c r="C39" s="194"/>
      <c r="D39" s="163"/>
      <c r="E39" s="99"/>
      <c r="F39" s="99"/>
      <c r="G39" s="99"/>
      <c r="H39" s="99"/>
      <c r="I39" s="99"/>
      <c r="J39" s="99"/>
      <c r="K39" s="99"/>
      <c r="M39" s="120"/>
      <c r="N39" s="49">
        <f>O39/D46</f>
        <v>1.358695652173913</v>
      </c>
      <c r="O39" s="50">
        <f>D49/0.8</f>
        <v>562.5</v>
      </c>
      <c r="P39" s="40">
        <f>D16*O39/(O39-((3/7)*D49))</f>
        <v>0.003043478260869565</v>
      </c>
      <c r="Q39" s="40">
        <f>-(D16-((D46-((3/7)*D49))*(P39-D16)/((3/7)*D49)))</f>
        <v>-0.0008034782608695649</v>
      </c>
      <c r="R39" s="40">
        <f>-(((P39-D16)*(((3/7)*D49)-D43)/((3/7)*D49))+D16)</f>
        <v>-0.002848695652173913</v>
      </c>
      <c r="S39" s="41">
        <f>0.85*D1</f>
        <v>13.228124999999999</v>
      </c>
      <c r="T39" s="41">
        <f>MAX(Q39*D31,-D8)</f>
        <v>-165.51652173913038</v>
      </c>
      <c r="U39" s="41">
        <f>MAX(R39*D31,-D5)</f>
        <v>-326.0869565217392</v>
      </c>
      <c r="V39" s="42">
        <f>(S39*D52*(MIN(D49,0.8*O39))-((D38*T39)+(D36*U39)))</f>
        <v>2876319.9107608693</v>
      </c>
      <c r="W39" s="42">
        <f>((S39*D52*(MIN(D49,0.8*O39))*((0.5*(D46+D40))-(MIN(D49/2,0.4*O39)))+(((D38*T39)-(D36*U39))*0.5*(D46-D43))))</f>
        <v>12199820.493913054</v>
      </c>
      <c r="X39" s="43">
        <f t="shared" si="0"/>
        <v>2876.3199107608693</v>
      </c>
      <c r="Y39" s="44">
        <f t="shared" si="1"/>
        <v>12.199820493913055</v>
      </c>
      <c r="Z39" s="103"/>
      <c r="AA39" s="103"/>
      <c r="AB39" s="103"/>
      <c r="AC39" s="103"/>
      <c r="AD39" s="103"/>
      <c r="AE39" s="103"/>
      <c r="AF39" s="103"/>
    </row>
    <row r="40" spans="1:32" ht="13.5" thickTop="1">
      <c r="A40" s="187"/>
      <c r="B40" s="153" t="s">
        <v>11</v>
      </c>
      <c r="C40" s="153" t="s">
        <v>32</v>
      </c>
      <c r="D40" s="192">
        <v>36</v>
      </c>
      <c r="E40" s="99"/>
      <c r="F40" s="99"/>
      <c r="G40" s="99"/>
      <c r="H40" s="99"/>
      <c r="I40" s="99"/>
      <c r="J40" s="99"/>
      <c r="K40" s="99"/>
      <c r="M40" s="120"/>
      <c r="N40" s="8">
        <v>1.5</v>
      </c>
      <c r="O40" s="16">
        <f>N40*D46</f>
        <v>621</v>
      </c>
      <c r="P40" s="34">
        <f>D16*O40/(O40-((3/7)*D49))</f>
        <v>0.002900900900900901</v>
      </c>
      <c r="Q40" s="34">
        <f>-(D16-((D46-((3/7)*D49))*(P40-D16)/((3/7)*D49)))</f>
        <v>-0.0009669669669669669</v>
      </c>
      <c r="R40" s="34">
        <f>-(((P40-D16)*(((3/7)*D49)-D43)/((3/7)*D49))+D16)</f>
        <v>-0.002732732732732733</v>
      </c>
      <c r="S40" s="39">
        <f>0.85*D1</f>
        <v>13.228124999999999</v>
      </c>
      <c r="T40" s="31">
        <f>MAX(Q40*D31,-D8)</f>
        <v>-199.19519519519517</v>
      </c>
      <c r="U40" s="39">
        <f>MAX(R40*D31,-D5)</f>
        <v>-326.0869565217392</v>
      </c>
      <c r="V40" s="45">
        <f>(S40*D52*(MIN(D49,0.8*O40))-((D38*T40)+(D36*U40)))</f>
        <v>2889858.737490207</v>
      </c>
      <c r="W40" s="45">
        <f>((S40*D52*(MIN(D49,0.8*O40))*((0.5*(D46+D40))-(MIN(D49/2,0.4*O40)))+(((D38*T40)-(D36*U40))*0.5*(D46-D43))))</f>
        <v>9640982.242068162</v>
      </c>
      <c r="X40" s="18">
        <f t="shared" si="0"/>
        <v>2889.8587374902067</v>
      </c>
      <c r="Y40" s="19">
        <f t="shared" si="1"/>
        <v>9.640982242068162</v>
      </c>
      <c r="Z40" s="103"/>
      <c r="AA40" s="103"/>
      <c r="AB40" s="103"/>
      <c r="AC40" s="103"/>
      <c r="AD40" s="103"/>
      <c r="AE40" s="103"/>
      <c r="AF40" s="103"/>
    </row>
    <row r="41" spans="1:32" ht="12.75">
      <c r="A41" s="187"/>
      <c r="B41" s="154"/>
      <c r="C41" s="139"/>
      <c r="D41" s="182"/>
      <c r="E41" s="99"/>
      <c r="F41" s="99"/>
      <c r="G41" s="99"/>
      <c r="H41" s="99"/>
      <c r="I41" s="99"/>
      <c r="J41" s="99"/>
      <c r="K41" s="99"/>
      <c r="M41" s="120"/>
      <c r="N41" s="9">
        <v>2.5</v>
      </c>
      <c r="O41" s="16">
        <f>N41*D46</f>
        <v>1035</v>
      </c>
      <c r="P41" s="34">
        <f>D16*O41/(O41-((3/7)*D49))</f>
        <v>0.0024580152671755725</v>
      </c>
      <c r="Q41" s="34">
        <f>-(D16-((D46-((3/7)*D49))*(P41-D16)/((3/7)*D49)))</f>
        <v>-0.0014748091603053435</v>
      </c>
      <c r="R41" s="34">
        <f>-(((P41-D16)*(((3/7)*D49)-D43)/((3/7)*D49))+D16)</f>
        <v>-0.0023725190839694655</v>
      </c>
      <c r="S41" s="39">
        <f>0.85*D1</f>
        <v>13.228124999999999</v>
      </c>
      <c r="T41" s="31">
        <f>MAX(Q41*D31,-D8)</f>
        <v>-303.81068702290077</v>
      </c>
      <c r="U41" s="39">
        <f>MAX(R41*D31,-D5)</f>
        <v>-326.0869565217392</v>
      </c>
      <c r="V41" s="45">
        <f>(S41*D52*(MIN(D49,0.8*O41))-((D38*T41)+(D36*U41)))</f>
        <v>2931914.165204945</v>
      </c>
      <c r="W41" s="45">
        <f>((S41*D52*(MIN(D49,0.8*O41))*((0.5*(D46+D40))-(MIN(D49/2,0.4*O41)))+(((D38*T41)-(D36*U41))*0.5*(D46-D43))))</f>
        <v>1692506.4039827485</v>
      </c>
      <c r="X41" s="18">
        <f t="shared" si="0"/>
        <v>2931.914165204945</v>
      </c>
      <c r="Y41" s="19">
        <f t="shared" si="1"/>
        <v>1.6925064039827484</v>
      </c>
      <c r="Z41" s="103"/>
      <c r="AA41" s="103"/>
      <c r="AB41" s="103"/>
      <c r="AC41" s="103"/>
      <c r="AD41" s="103"/>
      <c r="AE41" s="103"/>
      <c r="AF41" s="103"/>
    </row>
    <row r="42" spans="1:32" ht="12.75">
      <c r="A42" s="187"/>
      <c r="B42" s="154"/>
      <c r="C42" s="156"/>
      <c r="D42" s="191"/>
      <c r="E42" s="99"/>
      <c r="F42" s="99"/>
      <c r="G42" s="25"/>
      <c r="H42" s="25"/>
      <c r="I42" s="25"/>
      <c r="J42" s="99"/>
      <c r="K42" s="99"/>
      <c r="M42" s="120"/>
      <c r="N42" s="9">
        <v>3</v>
      </c>
      <c r="O42" s="16">
        <f>N42*D46</f>
        <v>1242</v>
      </c>
      <c r="P42" s="34">
        <f>D16*O42/(O42-((3/7)*D49))</f>
        <v>0.0023676470588235294</v>
      </c>
      <c r="Q42" s="34">
        <f>-(D16-((D46-((3/7)*D49))*(P42-D16)/((3/7)*D49)))</f>
        <v>-0.0015784313725490196</v>
      </c>
      <c r="R42" s="34">
        <f>-(((P42-D16)*(((3/7)*D49)-D43)/((3/7)*D49))+D16)</f>
        <v>-0.002299019607843137</v>
      </c>
      <c r="S42" s="39">
        <f>0.85*D1</f>
        <v>13.228124999999999</v>
      </c>
      <c r="T42" s="31">
        <f>MAX(Q42*D31,-D8)</f>
        <v>-325.156862745098</v>
      </c>
      <c r="U42" s="39">
        <f>MAX(R42*D31,-D5)</f>
        <v>-326.0869565217392</v>
      </c>
      <c r="V42" s="45">
        <f>(S42*D52*(MIN(D49,0.8*O42))-((D38*T42)+(D36*U42)))</f>
        <v>2940495.327845268</v>
      </c>
      <c r="W42" s="45">
        <f>((S42*D52*(MIN(D49,0.8*O42))*((0.5*(D46+D40))-(MIN(D49/2,0.4*O42)))+(((D38*T42)-(D36*U42))*0.5*(D46-D43))))</f>
        <v>70666.66496164587</v>
      </c>
      <c r="X42" s="18">
        <f t="shared" si="0"/>
        <v>2940.495327845268</v>
      </c>
      <c r="Y42" s="19">
        <f t="shared" si="1"/>
        <v>0.07066666496164588</v>
      </c>
      <c r="Z42" s="103"/>
      <c r="AA42" s="103"/>
      <c r="AB42" s="103"/>
      <c r="AC42" s="103"/>
      <c r="AD42" s="103"/>
      <c r="AE42" s="103"/>
      <c r="AF42" s="103"/>
    </row>
    <row r="43" spans="1:25" ht="12.75">
      <c r="A43" s="187"/>
      <c r="B43" s="154"/>
      <c r="C43" s="138" t="s">
        <v>4</v>
      </c>
      <c r="D43" s="162">
        <v>36</v>
      </c>
      <c r="E43" s="99"/>
      <c r="F43" s="99"/>
      <c r="G43" s="25"/>
      <c r="H43" s="25"/>
      <c r="I43" s="25"/>
      <c r="J43" s="99"/>
      <c r="K43" s="99"/>
      <c r="M43" s="120"/>
      <c r="N43" s="51">
        <f>O43/D46</f>
        <v>3.0274348077551734</v>
      </c>
      <c r="O43" s="71">
        <f>(P43*(3/7)*D49)/(P43-D16)</f>
        <v>1253.3580104106418</v>
      </c>
      <c r="P43" s="34">
        <f>((-Q43*(3/7)*D49)-(D16*D46))/((3/7)*D49-D46)</f>
        <v>0.0023637095428352657</v>
      </c>
      <c r="Q43" s="61">
        <f>-D28</f>
        <v>-0.001582946390882229</v>
      </c>
      <c r="R43" s="34">
        <f>-(((P43-D16)*((3/7)*D49-D43))/((3/7)*D49)+D16)</f>
        <v>-0.0022958170948393494</v>
      </c>
      <c r="S43" s="39">
        <f>0.85*D1</f>
        <v>13.228124999999999</v>
      </c>
      <c r="T43" s="31">
        <f>MAX(Q43*D31,-D8)</f>
        <v>-326.0869565217392</v>
      </c>
      <c r="U43" s="39">
        <f>MAX(R43*D31,-D5)</f>
        <v>-326.0869565217392</v>
      </c>
      <c r="V43" s="45">
        <f>(S43*D52*(MIN(D49,0.8*O43))-((D38*T43)+(D36*U43)))</f>
        <v>2940869.225543478</v>
      </c>
      <c r="W43" s="45">
        <f>((S43*D52*(MIN(D49,0.8*O43))*((0.5*(D46+D40))-(MIN(D49/2,0.4*O43)))+(((D38*T43)-(D36*U43))*0.5*(D46-D43))))</f>
        <v>0</v>
      </c>
      <c r="X43" s="18">
        <f>V43/1000</f>
        <v>2940.869225543478</v>
      </c>
      <c r="Y43" s="19">
        <f>W43/POWER(1000,2)</f>
        <v>0</v>
      </c>
    </row>
    <row r="44" spans="1:25" ht="12.75">
      <c r="A44" s="187"/>
      <c r="B44" s="154"/>
      <c r="C44" s="154"/>
      <c r="D44" s="189"/>
      <c r="E44" s="25"/>
      <c r="F44" s="25"/>
      <c r="G44" s="99"/>
      <c r="H44" s="99"/>
      <c r="I44" s="99"/>
      <c r="J44" s="25"/>
      <c r="K44" s="25"/>
      <c r="M44" s="120"/>
      <c r="N44" s="9">
        <v>3.5</v>
      </c>
      <c r="O44" s="16">
        <f>N44*D46</f>
        <v>1449</v>
      </c>
      <c r="P44" s="34">
        <f>D16*O44/(O44-((3/7)*D49))</f>
        <v>0.0023070624360286593</v>
      </c>
      <c r="Q44" s="34">
        <f>-(D16-((D46-((3/7)*D49))*(P44-D16)/((3/7)*D49)))</f>
        <v>-0.0016479017400204707</v>
      </c>
      <c r="R44" s="34">
        <f>-(((P44-D16)*(((3/7)*D49)-D43)/((3/7)*D49))+D16)</f>
        <v>-0.0022497441146366428</v>
      </c>
      <c r="S44" s="39">
        <f>0.85*D1</f>
        <v>13.228124999999999</v>
      </c>
      <c r="T44" s="31">
        <f>MAX(Q44*D31,-D8)</f>
        <v>-326.0869565217392</v>
      </c>
      <c r="U44" s="39">
        <f>MAX(R44*D31,-D5)</f>
        <v>-326.0869565217392</v>
      </c>
      <c r="V44" s="45">
        <f>(S44*D52*(MIN(D49,0.8*O44))-((D38*T44)+(D36*U44)))</f>
        <v>2940869.225543478</v>
      </c>
      <c r="W44" s="45">
        <f>((S44*D52*(MIN(D49,0.8*O44))*((0.5*(D46+D40))-(MIN(D49/2,0.4*O44)))+(((D38*T44)-(D36*U44))*0.5*(D46-D43))))</f>
        <v>0</v>
      </c>
      <c r="X44" s="18">
        <f t="shared" si="0"/>
        <v>2940.869225543478</v>
      </c>
      <c r="Y44" s="19">
        <f t="shared" si="1"/>
        <v>0</v>
      </c>
    </row>
    <row r="45" spans="1:25" ht="13.5" thickBot="1">
      <c r="A45" s="187"/>
      <c r="B45" s="154"/>
      <c r="C45" s="157"/>
      <c r="D45" s="190"/>
      <c r="E45" s="25"/>
      <c r="F45" s="25"/>
      <c r="G45" s="99"/>
      <c r="H45" s="99"/>
      <c r="I45" s="99"/>
      <c r="J45" s="25"/>
      <c r="K45" s="25"/>
      <c r="M45" s="73"/>
      <c r="N45" s="74">
        <f>O45/D49</f>
        <v>2222.22</v>
      </c>
      <c r="O45" s="75">
        <v>999999</v>
      </c>
      <c r="P45" s="117">
        <f>D16*O45/(O45-((3/7)*D49))</f>
        <v>0.0020003857890736818</v>
      </c>
      <c r="Q45" s="115">
        <f>-P45</f>
        <v>-0.0020003857890736818</v>
      </c>
      <c r="R45" s="116">
        <f>Q45</f>
        <v>-0.0020003857890736818</v>
      </c>
      <c r="S45" s="77">
        <f>0.85*D1</f>
        <v>13.228124999999999</v>
      </c>
      <c r="T45" s="77">
        <f>MAX(Q45*D31,-D8)</f>
        <v>-326.0869565217392</v>
      </c>
      <c r="U45" s="77">
        <f>MAX(R45*D31,-D8)</f>
        <v>-326.0869565217392</v>
      </c>
      <c r="V45" s="78">
        <f>(S45*D52*(MIN(D49,0.8*O45))-((D38*T45)+(D36*U45)))</f>
        <v>2940869.225543478</v>
      </c>
      <c r="W45" s="78">
        <f>((S45*D52*(MIN(D49,0.8*O45))*((0.5*(D46+D40))-(MIN(D49/2,0.4*O45)))+(((D38*T45)-(D36*U45))*0.5*(D46-D43))))</f>
        <v>0</v>
      </c>
      <c r="X45" s="79">
        <f t="shared" si="0"/>
        <v>2940.869225543478</v>
      </c>
      <c r="Y45" s="80">
        <f t="shared" si="1"/>
        <v>0</v>
      </c>
    </row>
    <row r="46" spans="1:25" ht="12.75">
      <c r="A46" s="187"/>
      <c r="B46" s="154"/>
      <c r="C46" s="158" t="s">
        <v>3</v>
      </c>
      <c r="D46" s="182">
        <f>D49-D40</f>
        <v>414</v>
      </c>
      <c r="E46" s="99"/>
      <c r="F46" s="99"/>
      <c r="G46" s="99"/>
      <c r="H46" s="99"/>
      <c r="I46" s="99"/>
      <c r="J46" s="99"/>
      <c r="K46" s="99"/>
      <c r="M46" s="22"/>
      <c r="Y46" s="9"/>
    </row>
    <row r="47" spans="1:25" ht="12.75">
      <c r="A47" s="187"/>
      <c r="B47" s="154"/>
      <c r="C47" s="158"/>
      <c r="D47" s="182"/>
      <c r="E47" s="99"/>
      <c r="F47" s="99"/>
      <c r="G47" s="99"/>
      <c r="H47" s="99"/>
      <c r="I47" s="99"/>
      <c r="J47" s="99"/>
      <c r="K47" s="99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9"/>
    </row>
    <row r="48" spans="1:25" ht="13.5" thickBot="1">
      <c r="A48" s="187"/>
      <c r="B48" s="154"/>
      <c r="C48" s="158"/>
      <c r="D48" s="182"/>
      <c r="E48" s="99"/>
      <c r="F48" s="99"/>
      <c r="G48" s="99"/>
      <c r="H48" s="99"/>
      <c r="I48" s="99"/>
      <c r="J48" s="99"/>
      <c r="K48" s="99"/>
      <c r="M48" s="119" t="s">
        <v>44</v>
      </c>
      <c r="N48" s="119"/>
      <c r="O48" s="119"/>
      <c r="P48" s="119"/>
      <c r="Q48" s="119"/>
      <c r="R48" s="119"/>
      <c r="S48" s="25"/>
      <c r="T48" s="25"/>
      <c r="U48" s="25"/>
      <c r="V48" s="25"/>
      <c r="W48" s="25"/>
      <c r="X48" s="64"/>
      <c r="Y48" s="9"/>
    </row>
    <row r="49" spans="1:25" ht="12.75">
      <c r="A49" s="187"/>
      <c r="B49" s="154"/>
      <c r="C49" s="159" t="s">
        <v>1</v>
      </c>
      <c r="D49" s="162">
        <v>450</v>
      </c>
      <c r="E49" s="99"/>
      <c r="F49" s="99"/>
      <c r="G49" s="99"/>
      <c r="H49" s="99"/>
      <c r="I49" s="99"/>
      <c r="J49" s="99"/>
      <c r="K49" s="99"/>
      <c r="M49" s="22"/>
      <c r="N49" s="69"/>
      <c r="O49" s="69"/>
      <c r="P49" s="25"/>
      <c r="Q49" s="25"/>
      <c r="R49" s="25"/>
      <c r="S49" s="135">
        <v>1</v>
      </c>
      <c r="T49" s="131" t="s">
        <v>42</v>
      </c>
      <c r="U49" s="132"/>
      <c r="V49" s="105">
        <f>(0.85*(0.83*D3)/(1.25*1.6))*D52*D49-(-D8*D38)-(-D5*D36)</f>
        <v>2405130.1630434785</v>
      </c>
      <c r="W49" s="76">
        <v>0</v>
      </c>
      <c r="X49" s="90">
        <f>V49/1000</f>
        <v>2405.1301630434787</v>
      </c>
      <c r="Y49" s="93">
        <f t="shared" si="1"/>
        <v>0</v>
      </c>
    </row>
    <row r="50" spans="1:25" ht="15.75">
      <c r="A50" s="187"/>
      <c r="B50" s="154"/>
      <c r="C50" s="158"/>
      <c r="D50" s="182"/>
      <c r="E50" s="99"/>
      <c r="F50" s="99"/>
      <c r="G50" s="99"/>
      <c r="H50" s="99"/>
      <c r="I50" s="99"/>
      <c r="J50" s="99"/>
      <c r="K50" s="99"/>
      <c r="M50" s="2"/>
      <c r="N50" s="2"/>
      <c r="O50" s="2"/>
      <c r="P50" s="25"/>
      <c r="Q50" s="25"/>
      <c r="R50" s="25"/>
      <c r="S50" s="136"/>
      <c r="T50" s="133" t="s">
        <v>43</v>
      </c>
      <c r="U50" s="134"/>
      <c r="V50" s="106">
        <f>V49</f>
        <v>2405130.1630434785</v>
      </c>
      <c r="W50" s="70">
        <v>140000000</v>
      </c>
      <c r="X50" s="91">
        <f>V50/1000</f>
        <v>2405.1301630434787</v>
      </c>
      <c r="Y50" s="94">
        <f t="shared" si="1"/>
        <v>140</v>
      </c>
    </row>
    <row r="51" spans="1:25" ht="12.75">
      <c r="A51" s="187"/>
      <c r="B51" s="154"/>
      <c r="C51" s="144"/>
      <c r="D51" s="191"/>
      <c r="E51" s="99"/>
      <c r="F51" s="99"/>
      <c r="G51" s="99"/>
      <c r="H51" s="99"/>
      <c r="I51" s="99"/>
      <c r="J51" s="99"/>
      <c r="K51" s="99"/>
      <c r="M51" s="2"/>
      <c r="N51" s="2"/>
      <c r="O51" s="2"/>
      <c r="P51" s="25"/>
      <c r="Q51" s="25"/>
      <c r="R51" s="25"/>
      <c r="S51" s="137">
        <v>2</v>
      </c>
      <c r="T51" s="127" t="s">
        <v>41</v>
      </c>
      <c r="U51" s="129">
        <f>MAX(D49/30,20)</f>
        <v>20</v>
      </c>
      <c r="V51" s="89">
        <v>0</v>
      </c>
      <c r="W51" s="89">
        <f>V51*U51</f>
        <v>0</v>
      </c>
      <c r="X51" s="92">
        <f>V51/1000</f>
        <v>0</v>
      </c>
      <c r="Y51" s="95">
        <f t="shared" si="1"/>
        <v>0</v>
      </c>
    </row>
    <row r="52" spans="1:25" ht="12.75">
      <c r="A52" s="187"/>
      <c r="B52" s="154"/>
      <c r="C52" s="158" t="s">
        <v>0</v>
      </c>
      <c r="D52" s="182">
        <v>450</v>
      </c>
      <c r="E52" s="99"/>
      <c r="F52" s="99"/>
      <c r="G52" s="99"/>
      <c r="H52" s="99"/>
      <c r="I52" s="99"/>
      <c r="J52" s="99"/>
      <c r="K52" s="99"/>
      <c r="M52" s="25"/>
      <c r="N52" s="25"/>
      <c r="O52" s="25"/>
      <c r="P52" s="25"/>
      <c r="Q52" s="25"/>
      <c r="R52" s="25"/>
      <c r="S52" s="136"/>
      <c r="T52" s="128"/>
      <c r="U52" s="130"/>
      <c r="V52" s="70">
        <v>2900000</v>
      </c>
      <c r="W52" s="70">
        <f>V52*U51</f>
        <v>58000000</v>
      </c>
      <c r="X52" s="91">
        <f>V52/1000</f>
        <v>2900</v>
      </c>
      <c r="Y52" s="94">
        <f t="shared" si="1"/>
        <v>58</v>
      </c>
    </row>
    <row r="53" spans="1:25" ht="15.75">
      <c r="A53" s="187"/>
      <c r="B53" s="154"/>
      <c r="C53" s="158"/>
      <c r="D53" s="182"/>
      <c r="E53" s="99"/>
      <c r="F53" s="99"/>
      <c r="J53" s="99"/>
      <c r="K53" s="99"/>
      <c r="M53" s="25"/>
      <c r="N53" s="25"/>
      <c r="O53" s="25"/>
      <c r="P53" s="25"/>
      <c r="Q53" s="25"/>
      <c r="R53" s="25"/>
      <c r="S53" s="88">
        <v>3</v>
      </c>
      <c r="T53" s="121" t="s">
        <v>45</v>
      </c>
      <c r="U53" s="122"/>
      <c r="V53" s="122"/>
      <c r="W53" s="122"/>
      <c r="X53" s="122"/>
      <c r="Y53" s="123"/>
    </row>
    <row r="54" spans="1:25" ht="13.5" thickBot="1">
      <c r="A54" s="188"/>
      <c r="B54" s="155"/>
      <c r="C54" s="195"/>
      <c r="D54" s="183"/>
      <c r="E54" s="99"/>
      <c r="F54" s="99"/>
      <c r="J54" s="99"/>
      <c r="K54" s="99"/>
      <c r="M54" s="25"/>
      <c r="N54" s="25"/>
      <c r="O54" s="25"/>
      <c r="P54" s="25"/>
      <c r="Q54" s="25"/>
      <c r="R54" s="25"/>
      <c r="S54" s="87">
        <v>4</v>
      </c>
      <c r="T54" s="124" t="s">
        <v>46</v>
      </c>
      <c r="U54" s="125"/>
      <c r="V54" s="125"/>
      <c r="W54" s="125"/>
      <c r="X54" s="125"/>
      <c r="Y54" s="126"/>
    </row>
  </sheetData>
  <mergeCells count="61">
    <mergeCell ref="T53:Y53"/>
    <mergeCell ref="T54:Y54"/>
    <mergeCell ref="T49:U49"/>
    <mergeCell ref="T50:U50"/>
    <mergeCell ref="S51:S52"/>
    <mergeCell ref="T51:T52"/>
    <mergeCell ref="U51:U52"/>
    <mergeCell ref="M48:R48"/>
    <mergeCell ref="S49:S50"/>
    <mergeCell ref="M36:M44"/>
    <mergeCell ref="C38:C39"/>
    <mergeCell ref="D38:D39"/>
    <mergeCell ref="D43:D45"/>
    <mergeCell ref="C46:C48"/>
    <mergeCell ref="D46:D48"/>
    <mergeCell ref="C49:C51"/>
    <mergeCell ref="D49:D51"/>
    <mergeCell ref="A36:A54"/>
    <mergeCell ref="B36:B39"/>
    <mergeCell ref="C36:C37"/>
    <mergeCell ref="D36:D37"/>
    <mergeCell ref="C52:C54"/>
    <mergeCell ref="D52:D54"/>
    <mergeCell ref="B40:B54"/>
    <mergeCell ref="C40:C42"/>
    <mergeCell ref="D40:D42"/>
    <mergeCell ref="C43:C45"/>
    <mergeCell ref="B31:B35"/>
    <mergeCell ref="C31:C35"/>
    <mergeCell ref="D31:D35"/>
    <mergeCell ref="B13:B30"/>
    <mergeCell ref="C13:C15"/>
    <mergeCell ref="D13:D15"/>
    <mergeCell ref="C16:C18"/>
    <mergeCell ref="D16:D18"/>
    <mergeCell ref="M18:M25"/>
    <mergeCell ref="C19:C21"/>
    <mergeCell ref="D19:D21"/>
    <mergeCell ref="C22:C24"/>
    <mergeCell ref="D22:D24"/>
    <mergeCell ref="C25:C27"/>
    <mergeCell ref="D25:D27"/>
    <mergeCell ref="M27:M32"/>
    <mergeCell ref="C28:C30"/>
    <mergeCell ref="D28:D30"/>
    <mergeCell ref="D5:D7"/>
    <mergeCell ref="C8:C10"/>
    <mergeCell ref="D8:D10"/>
    <mergeCell ref="M9:M12"/>
    <mergeCell ref="C11:C12"/>
    <mergeCell ref="D11:D12"/>
    <mergeCell ref="A1:A35"/>
    <mergeCell ref="D3:D4"/>
    <mergeCell ref="M3:M7"/>
    <mergeCell ref="C5:C7"/>
    <mergeCell ref="M14:M16"/>
    <mergeCell ref="B1:B12"/>
    <mergeCell ref="C1:C2"/>
    <mergeCell ref="D1:D2"/>
    <mergeCell ref="G1:I1"/>
    <mergeCell ref="C3:C4"/>
  </mergeCells>
  <printOptions horizontalCentered="1"/>
  <pageMargins left="0.3937007874015748" right="0.3937007874015748" top="0.1968503937007874" bottom="0.1968503937007874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="75" zoomScaleNormal="75" workbookViewId="0" topLeftCell="A1">
      <selection activeCell="D40" sqref="D40:D42"/>
    </sheetView>
  </sheetViews>
  <sheetFormatPr defaultColWidth="9.140625" defaultRowHeight="12.75"/>
  <cols>
    <col min="1" max="1" width="5.28125" style="0" bestFit="1" customWidth="1"/>
    <col min="2" max="2" width="4.28125" style="0" bestFit="1" customWidth="1"/>
    <col min="3" max="3" width="5.28125" style="0" bestFit="1" customWidth="1"/>
    <col min="4" max="4" width="4.28125" style="0" bestFit="1" customWidth="1"/>
    <col min="5" max="6" width="10.7109375" style="0" customWidth="1"/>
    <col min="7" max="9" width="12.7109375" style="0" customWidth="1"/>
    <col min="10" max="11" width="10.7109375" style="0" customWidth="1"/>
    <col min="12" max="12" width="1.7109375" style="0" customWidth="1"/>
    <col min="13" max="13" width="3.140625" style="0" bestFit="1" customWidth="1"/>
    <col min="14" max="14" width="8.140625" style="0" bestFit="1" customWidth="1"/>
    <col min="15" max="16" width="7.57421875" style="0" bestFit="1" customWidth="1"/>
    <col min="17" max="18" width="8.140625" style="0" bestFit="1" customWidth="1"/>
    <col min="19" max="19" width="5.57421875" style="0" bestFit="1" customWidth="1"/>
    <col min="20" max="21" width="7.140625" style="0" bestFit="1" customWidth="1"/>
    <col min="22" max="22" width="8.00390625" style="0" bestFit="1" customWidth="1"/>
    <col min="23" max="23" width="9.00390625" style="0" bestFit="1" customWidth="1"/>
    <col min="24" max="24" width="7.57421875" style="0" bestFit="1" customWidth="1"/>
    <col min="25" max="25" width="5.57421875" style="0" bestFit="1" customWidth="1"/>
  </cols>
  <sheetData>
    <row r="1" spans="1:25" ht="20.25" thickBot="1">
      <c r="A1" s="176" t="s">
        <v>7</v>
      </c>
      <c r="B1" s="141" t="s">
        <v>16</v>
      </c>
      <c r="C1" s="184" t="s">
        <v>19</v>
      </c>
      <c r="D1" s="148">
        <f>0.83*D3/1.6</f>
        <v>15.562499999999998</v>
      </c>
      <c r="E1" s="96"/>
      <c r="F1" s="96"/>
      <c r="G1" s="145" t="s">
        <v>15</v>
      </c>
      <c r="H1" s="146"/>
      <c r="I1" s="147"/>
      <c r="J1" s="2"/>
      <c r="K1" s="96"/>
      <c r="M1" s="26"/>
      <c r="N1" s="27" t="s">
        <v>10</v>
      </c>
      <c r="O1" s="28" t="s">
        <v>5</v>
      </c>
      <c r="P1" s="56" t="s">
        <v>33</v>
      </c>
      <c r="Q1" s="56" t="s">
        <v>40</v>
      </c>
      <c r="R1" s="56" t="s">
        <v>39</v>
      </c>
      <c r="S1" s="56" t="s">
        <v>36</v>
      </c>
      <c r="T1" s="56" t="s">
        <v>37</v>
      </c>
      <c r="U1" s="56" t="s">
        <v>38</v>
      </c>
      <c r="V1" s="55" t="s">
        <v>34</v>
      </c>
      <c r="W1" s="28" t="s">
        <v>35</v>
      </c>
      <c r="X1" s="29" t="s">
        <v>34</v>
      </c>
      <c r="Y1" s="30" t="s">
        <v>35</v>
      </c>
    </row>
    <row r="2" spans="1:25" ht="17.25" thickTop="1">
      <c r="A2" s="177"/>
      <c r="B2" s="139"/>
      <c r="C2" s="185"/>
      <c r="D2" s="149"/>
      <c r="E2" s="96"/>
      <c r="F2" s="96"/>
      <c r="G2" s="101"/>
      <c r="H2" s="6" t="s">
        <v>8</v>
      </c>
      <c r="I2" s="66" t="s">
        <v>9</v>
      </c>
      <c r="J2" s="2"/>
      <c r="K2" s="96"/>
      <c r="M2" s="82"/>
      <c r="N2" s="86">
        <f>O2/D46</f>
        <v>-3773.5811320754715</v>
      </c>
      <c r="O2" s="83">
        <v>-999999</v>
      </c>
      <c r="P2" s="58">
        <v>0</v>
      </c>
      <c r="Q2" s="58">
        <f>D25</f>
        <v>0.01</v>
      </c>
      <c r="R2" s="85">
        <v>0.01</v>
      </c>
      <c r="S2" s="58">
        <v>0</v>
      </c>
      <c r="T2" s="58">
        <f>D8</f>
        <v>326.0869565217392</v>
      </c>
      <c r="U2" s="58">
        <f>MIN(R2*D31,D5)</f>
        <v>326.0869565217392</v>
      </c>
      <c r="V2" s="37">
        <f>(S2*D52*0.8*O2)-((D38*T2)+(D36*U2))</f>
        <v>-301304.34782608703</v>
      </c>
      <c r="W2" s="13">
        <f>((S2*D52*0.8*O2)*((0.5*(D46+D40))-(0.4*O2)))+(((D38*T2)-(D36*U2))*0.5*(D46-D43))</f>
        <v>0</v>
      </c>
      <c r="X2" s="20">
        <f>V2/1000</f>
        <v>-301.30434782608705</v>
      </c>
      <c r="Y2" s="21">
        <f>W2/POWER(1000,2)</f>
        <v>0</v>
      </c>
    </row>
    <row r="3" spans="1:25" ht="15.75">
      <c r="A3" s="177"/>
      <c r="B3" s="139"/>
      <c r="C3" s="167" t="s">
        <v>20</v>
      </c>
      <c r="D3" s="160">
        <v>30</v>
      </c>
      <c r="E3" s="97"/>
      <c r="F3" s="97"/>
      <c r="G3" s="23" t="s">
        <v>59</v>
      </c>
      <c r="H3" s="7">
        <v>167.44</v>
      </c>
      <c r="I3" s="65">
        <v>51.77</v>
      </c>
      <c r="J3" s="2"/>
      <c r="K3" s="97"/>
      <c r="M3" s="120">
        <v>1</v>
      </c>
      <c r="N3" s="8">
        <v>-1</v>
      </c>
      <c r="O3" s="31">
        <f>N3*D46</f>
        <v>-265</v>
      </c>
      <c r="P3" s="31">
        <v>0</v>
      </c>
      <c r="Q3" s="31">
        <f>D25</f>
        <v>0.01</v>
      </c>
      <c r="R3" s="33">
        <f>Q3*(D43-O3)/(D46-O3)</f>
        <v>0.005660377358490566</v>
      </c>
      <c r="S3" s="32">
        <v>0</v>
      </c>
      <c r="T3" s="32">
        <f>D8</f>
        <v>326.0869565217392</v>
      </c>
      <c r="U3" s="32">
        <f>MIN(R3*D31,D5)</f>
        <v>326.0869565217392</v>
      </c>
      <c r="V3" s="36">
        <f>(S3*D52*0.8*O3)-((D38*T3)+(D36*U3))</f>
        <v>-301304.34782608703</v>
      </c>
      <c r="W3" s="7">
        <f>((S3*D52*0.8*O3)*((0.5*(D46+D40))-(0.4*O3)))+(((D38*T3)-(D36*U3))*0.5*(D46-D43))</f>
        <v>0</v>
      </c>
      <c r="X3" s="18">
        <f>V3/1000</f>
        <v>-301.30434782608705</v>
      </c>
      <c r="Y3" s="19">
        <f>W3/POWER(1000,2)</f>
        <v>0</v>
      </c>
    </row>
    <row r="4" spans="1:25" ht="16.5" thickBot="1">
      <c r="A4" s="177"/>
      <c r="B4" s="139"/>
      <c r="C4" s="168"/>
      <c r="D4" s="161"/>
      <c r="E4" s="97"/>
      <c r="F4" s="97"/>
      <c r="G4" s="24" t="s">
        <v>60</v>
      </c>
      <c r="H4" s="4">
        <v>178.47</v>
      </c>
      <c r="I4" s="118">
        <v>45.4</v>
      </c>
      <c r="J4" s="2"/>
      <c r="K4" s="97"/>
      <c r="M4" s="120"/>
      <c r="N4" s="9">
        <v>-0.5</v>
      </c>
      <c r="O4" s="31">
        <f>N4*D46</f>
        <v>-132.5</v>
      </c>
      <c r="P4" s="31">
        <v>0</v>
      </c>
      <c r="Q4" s="31">
        <f>D25</f>
        <v>0.01</v>
      </c>
      <c r="R4" s="33">
        <f>Q4*(D43-O4)/(D46-O4)</f>
        <v>0.004213836477987422</v>
      </c>
      <c r="S4" s="32">
        <v>0</v>
      </c>
      <c r="T4" s="32">
        <f>D8</f>
        <v>326.0869565217392</v>
      </c>
      <c r="U4" s="32">
        <f>MIN(R4*D31,D5)</f>
        <v>326.0869565217392</v>
      </c>
      <c r="V4" s="36">
        <f>(S4*D52*0.8*O4)-((D38*T4)+(D36*U4))</f>
        <v>-301304.34782608703</v>
      </c>
      <c r="W4" s="7">
        <f>((S4*D52*0.8*O4)*((0.5*(D46+D40))-(0.4*O4)))+(((D38*T4)-(D36*U4))*0.5*(D46-D43))</f>
        <v>0</v>
      </c>
      <c r="X4" s="18">
        <f aca="true" t="shared" si="0" ref="X4:X44">V4/1000</f>
        <v>-301.30434782608705</v>
      </c>
      <c r="Y4" s="19">
        <f aca="true" t="shared" si="1" ref="Y4:Y44">W4/POWER(1000,2)</f>
        <v>0</v>
      </c>
    </row>
    <row r="5" spans="1:25" ht="13.5" thickTop="1">
      <c r="A5" s="177"/>
      <c r="B5" s="139"/>
      <c r="C5" s="169" t="s">
        <v>21</v>
      </c>
      <c r="D5" s="186">
        <f>D11/1.15</f>
        <v>326.0869565217392</v>
      </c>
      <c r="E5" s="98"/>
      <c r="F5" s="98"/>
      <c r="G5" s="24"/>
      <c r="H5" s="4"/>
      <c r="I5" s="67"/>
      <c r="J5" s="2"/>
      <c r="K5" s="98"/>
      <c r="M5" s="120"/>
      <c r="N5" s="8">
        <v>-0.25</v>
      </c>
      <c r="O5" s="31">
        <f>N5*D46</f>
        <v>-66.25</v>
      </c>
      <c r="P5" s="31">
        <v>0</v>
      </c>
      <c r="Q5" s="31">
        <f>D25</f>
        <v>0.01</v>
      </c>
      <c r="R5" s="33">
        <f>Q5*(D43-O5)/(D46-O5)</f>
        <v>0.0030566037735849055</v>
      </c>
      <c r="S5" s="31">
        <v>0</v>
      </c>
      <c r="T5" s="31">
        <f>D8</f>
        <v>326.0869565217392</v>
      </c>
      <c r="U5" s="32">
        <f>MIN(R5*D31,D5)</f>
        <v>326.0869565217392</v>
      </c>
      <c r="V5" s="36">
        <f>(S5*D52*0.8*O5)-((D38*T5)+(D36*U5))</f>
        <v>-301304.34782608703</v>
      </c>
      <c r="W5" s="7">
        <f>((S5*D52*0.8*O5)*((0.5*(D46+D40))-(0.4*O5)))+(((D38*T5)-(D36*U5))*0.5*(D46-D43))</f>
        <v>0</v>
      </c>
      <c r="X5" s="18">
        <f t="shared" si="0"/>
        <v>-301.30434782608705</v>
      </c>
      <c r="Y5" s="19">
        <f t="shared" si="1"/>
        <v>0</v>
      </c>
    </row>
    <row r="6" spans="1:25" ht="13.5" thickBot="1">
      <c r="A6" s="177"/>
      <c r="B6" s="139"/>
      <c r="C6" s="170"/>
      <c r="D6" s="151"/>
      <c r="E6" s="98"/>
      <c r="F6" s="98"/>
      <c r="G6" s="3"/>
      <c r="H6" s="5"/>
      <c r="I6" s="68"/>
      <c r="J6" s="2"/>
      <c r="K6" s="98"/>
      <c r="M6" s="120"/>
      <c r="N6" s="9">
        <v>-0.1</v>
      </c>
      <c r="O6" s="39">
        <f>N6*D46</f>
        <v>-26.5</v>
      </c>
      <c r="P6" s="39">
        <v>0</v>
      </c>
      <c r="Q6" s="39">
        <f>D25</f>
        <v>0.01</v>
      </c>
      <c r="R6" s="33">
        <f>Q6*(D43-O6)/(D46-O6)</f>
        <v>0.002109777015437393</v>
      </c>
      <c r="S6" s="39">
        <v>0</v>
      </c>
      <c r="T6" s="39">
        <f>D8</f>
        <v>326.0869565217392</v>
      </c>
      <c r="U6" s="32">
        <f>MIN(R6*D31,D5)</f>
        <v>326.0869565217392</v>
      </c>
      <c r="V6" s="36">
        <f>(S6*D52*0.8*O6)-((D38*T6)+(D36*U6))</f>
        <v>-301304.34782608703</v>
      </c>
      <c r="W6" s="7">
        <f>((S6*D52*0.8*O6)*((0.5*(D46+D40))-(0.4*O6)))+(((D38*T6)-(D36*U6))*0.5*(D46-D43))</f>
        <v>0</v>
      </c>
      <c r="X6" s="18">
        <f>V6/1000</f>
        <v>-301.30434782608705</v>
      </c>
      <c r="Y6" s="19">
        <f>W6/POWER(1000,2)</f>
        <v>0</v>
      </c>
    </row>
    <row r="7" spans="1:25" ht="12.75">
      <c r="A7" s="177"/>
      <c r="B7" s="139"/>
      <c r="C7" s="171"/>
      <c r="D7" s="152"/>
      <c r="E7" s="98"/>
      <c r="F7" s="98"/>
      <c r="G7" s="98"/>
      <c r="H7" s="98"/>
      <c r="I7" s="98"/>
      <c r="J7" s="2"/>
      <c r="K7" s="98"/>
      <c r="L7" s="1"/>
      <c r="M7" s="120"/>
      <c r="N7" s="51">
        <f>O7/D46</f>
        <v>-0.031150053935391074</v>
      </c>
      <c r="O7" s="39">
        <f>-((R7*D46)-(Q7*D43))/(Q7-R7)</f>
        <v>-8.254764292878635</v>
      </c>
      <c r="P7" s="31">
        <v>0</v>
      </c>
      <c r="Q7" s="31">
        <f>D25</f>
        <v>0.01</v>
      </c>
      <c r="R7" s="59">
        <f>D22</f>
        <v>0.001582946390882229</v>
      </c>
      <c r="S7" s="31">
        <v>0</v>
      </c>
      <c r="T7" s="31">
        <f>D8</f>
        <v>326.0869565217392</v>
      </c>
      <c r="U7" s="32">
        <f>MIN(R7*D31,D5)</f>
        <v>326.0869565217392</v>
      </c>
      <c r="V7" s="36">
        <f>(S7*D52*0.8*O7)-((D38*T7)+(D36*U7))</f>
        <v>-301304.34782608703</v>
      </c>
      <c r="W7" s="36">
        <f>((S7*D52*0.8*O7)*((0.5*(D46+D40))-(0.4*O7)))+(((D38*T7)-(D36*U7))*0.5*(D46-D43))</f>
        <v>0</v>
      </c>
      <c r="X7" s="18">
        <f t="shared" si="0"/>
        <v>-301.30434782608705</v>
      </c>
      <c r="Y7" s="19">
        <f t="shared" si="1"/>
        <v>0</v>
      </c>
    </row>
    <row r="8" spans="1:25" ht="12.75">
      <c r="A8" s="177"/>
      <c r="B8" s="139"/>
      <c r="C8" s="172" t="s">
        <v>22</v>
      </c>
      <c r="D8" s="150">
        <f>D11/1.15</f>
        <v>326.0869565217392</v>
      </c>
      <c r="E8" s="98"/>
      <c r="F8" s="98"/>
      <c r="G8" s="98"/>
      <c r="H8" s="98"/>
      <c r="I8" s="98"/>
      <c r="J8" s="2"/>
      <c r="K8" s="98"/>
      <c r="M8" s="11"/>
      <c r="N8" s="108">
        <v>0</v>
      </c>
      <c r="O8" s="15">
        <f>N8*D46</f>
        <v>0</v>
      </c>
      <c r="P8" s="62">
        <f>Q8*O8/(D46-O8)</f>
        <v>0</v>
      </c>
      <c r="Q8" s="15">
        <f>D25</f>
        <v>0.01</v>
      </c>
      <c r="R8" s="57">
        <f>Q8*(D43-O8)/(D46-O8)</f>
        <v>0.0013207547169811322</v>
      </c>
      <c r="S8" s="15">
        <f>1000*0.85*D1*(P8-(250*P8^2))</f>
        <v>0</v>
      </c>
      <c r="T8" s="15">
        <f>D8</f>
        <v>326.0869565217392</v>
      </c>
      <c r="U8" s="58">
        <f>MIN(R8*D31,D5)</f>
        <v>272.07547169811323</v>
      </c>
      <c r="V8" s="37">
        <f>(S8*D52*0.8*O8)-((D38*T8)+(D36*U8))</f>
        <v>-276351.0418375718</v>
      </c>
      <c r="W8" s="37">
        <f>((S8*D52*0.8*O8)*((0.5*(D46+D40))-(0.4*O8)))+(((D38*T8)-(D36*U8))*0.5*(D46-D43))</f>
        <v>2869630.1886792486</v>
      </c>
      <c r="X8" s="20">
        <f t="shared" si="0"/>
        <v>-276.3510418375718</v>
      </c>
      <c r="Y8" s="21">
        <f t="shared" si="1"/>
        <v>2.8696301886792486</v>
      </c>
    </row>
    <row r="9" spans="1:25" ht="12.75">
      <c r="A9" s="177"/>
      <c r="B9" s="139"/>
      <c r="C9" s="170"/>
      <c r="D9" s="151"/>
      <c r="E9" s="98"/>
      <c r="F9" s="98"/>
      <c r="G9" s="99"/>
      <c r="H9" s="99"/>
      <c r="I9" s="99"/>
      <c r="J9" s="98"/>
      <c r="K9" s="98"/>
      <c r="M9" s="120" t="s">
        <v>14</v>
      </c>
      <c r="N9" s="2">
        <v>0.05</v>
      </c>
      <c r="O9" s="31">
        <f>N9*D46</f>
        <v>13.25</v>
      </c>
      <c r="P9" s="34">
        <f>Q9*O9/(D46-O9)</f>
        <v>0.0005263157894736842</v>
      </c>
      <c r="Q9" s="31">
        <f>D25</f>
        <v>0.01</v>
      </c>
      <c r="R9" s="34">
        <f>Q9*(D43-O9)/(D46-O9)</f>
        <v>0.0008639523336643496</v>
      </c>
      <c r="S9" s="31">
        <f>1000*0.85*D1*(P9-(250*P9^2))</f>
        <v>6.046095914127423</v>
      </c>
      <c r="T9" s="31">
        <f>D8</f>
        <v>326.0869565217392</v>
      </c>
      <c r="U9" s="31">
        <f>MIN(R9*D31,D5)</f>
        <v>177.97418073485602</v>
      </c>
      <c r="V9" s="36">
        <f>(S9*D52*0.8*O9)-((D38*T9)+(D36*U9))</f>
        <v>-213649.66040562178</v>
      </c>
      <c r="W9" s="36">
        <f>((S9*D52*0.8*O9)*((0.5*(D46+D40))-(0.4*O9)))+(((D38*T9)-(D36*U9))*0.5*(D46-D43))</f>
        <v>10651318.628059182</v>
      </c>
      <c r="X9" s="18">
        <f t="shared" si="0"/>
        <v>-213.64966040562177</v>
      </c>
      <c r="Y9" s="19">
        <f t="shared" si="1"/>
        <v>10.651318628059183</v>
      </c>
    </row>
    <row r="10" spans="1:25" ht="12.75">
      <c r="A10" s="177"/>
      <c r="B10" s="139"/>
      <c r="C10" s="171"/>
      <c r="D10" s="152"/>
      <c r="E10" s="98"/>
      <c r="F10" s="98"/>
      <c r="G10" s="99"/>
      <c r="H10" s="99"/>
      <c r="I10" s="99"/>
      <c r="J10" s="98"/>
      <c r="K10" s="98"/>
      <c r="M10" s="120"/>
      <c r="N10" s="9">
        <v>0.1</v>
      </c>
      <c r="O10" s="39">
        <f>N10*D46</f>
        <v>26.5</v>
      </c>
      <c r="P10" s="48">
        <f>Q10*O10/(D46-O10)</f>
        <v>0.0011111111111111111</v>
      </c>
      <c r="Q10" s="39">
        <f>D25</f>
        <v>0.01</v>
      </c>
      <c r="R10" s="48">
        <f>Q10*(D43-O10)/(D46-O10)</f>
        <v>0.0003563941299790357</v>
      </c>
      <c r="S10" s="39">
        <f>1000*0.85*D1*(P10-(250*P10^2))</f>
        <v>10.615162037037036</v>
      </c>
      <c r="T10" s="39">
        <f>D8</f>
        <v>326.0869565217392</v>
      </c>
      <c r="U10" s="39">
        <f>MIN(R10*D31,D5)</f>
        <v>73.41719077568135</v>
      </c>
      <c r="V10" s="45">
        <f>(S10*D52*0.8*O10)-((D38*T10)+(D36*U10))</f>
        <v>-117058.48549585276</v>
      </c>
      <c r="W10" s="45">
        <f>((S10*D52*0.8*O10)*((0.5*(D46+D40))-(0.4*O10)))+(((D38*T10)-(D36*U10))*0.5*(D46-D43))</f>
        <v>22835577.473532498</v>
      </c>
      <c r="X10" s="52">
        <f t="shared" si="0"/>
        <v>-117.05848549585276</v>
      </c>
      <c r="Y10" s="60">
        <f t="shared" si="1"/>
        <v>22.8355774735325</v>
      </c>
    </row>
    <row r="11" spans="1:25" ht="12.75">
      <c r="A11" s="177"/>
      <c r="B11" s="139"/>
      <c r="C11" s="167" t="s">
        <v>23</v>
      </c>
      <c r="D11" s="162">
        <v>375</v>
      </c>
      <c r="E11" s="99"/>
      <c r="F11" s="99"/>
      <c r="G11" s="100"/>
      <c r="H11" s="100"/>
      <c r="I11" s="100"/>
      <c r="J11" s="99"/>
      <c r="K11" s="99"/>
      <c r="M11" s="120"/>
      <c r="N11" s="107">
        <f>O11/D46</f>
        <v>0.1320754716981132</v>
      </c>
      <c r="O11" s="31">
        <f>D43</f>
        <v>35</v>
      </c>
      <c r="P11" s="34">
        <f>Q11*O11/(D46-O11)</f>
        <v>0.0015217391304347828</v>
      </c>
      <c r="Q11" s="31">
        <f>D25</f>
        <v>0.01</v>
      </c>
      <c r="R11" s="54">
        <f>Q11*(D43-O11)/(D46-O11)</f>
        <v>0</v>
      </c>
      <c r="S11" s="31">
        <f>1000*0.85*D1*(P11-(250*P11^2))</f>
        <v>12.471696301984876</v>
      </c>
      <c r="T11" s="31">
        <f>D8</f>
        <v>326.0869565217392</v>
      </c>
      <c r="U11" s="31">
        <f>MAX(R11*D31,-D5)</f>
        <v>0</v>
      </c>
      <c r="V11" s="36">
        <f>(S11*D52*0.8*O11)-((D38*T11)+(D36*U11))</f>
        <v>-45889.92497637056</v>
      </c>
      <c r="W11" s="36">
        <f>((S11*D52*0.8*O11)*((0.5*(D46+D40))-(0.4*O11)))+(((D38*T11)-(D36*U11))*0.5*(D46-D43))</f>
        <v>31572665.855387524</v>
      </c>
      <c r="X11" s="18">
        <f t="shared" si="0"/>
        <v>-45.88992497637056</v>
      </c>
      <c r="Y11" s="19">
        <f t="shared" si="1"/>
        <v>31.572665855387523</v>
      </c>
    </row>
    <row r="12" spans="1:25" ht="13.5" thickBot="1">
      <c r="A12" s="177"/>
      <c r="B12" s="142"/>
      <c r="C12" s="168"/>
      <c r="D12" s="163"/>
      <c r="E12" s="99"/>
      <c r="F12" s="99"/>
      <c r="G12" s="100"/>
      <c r="H12" s="100"/>
      <c r="I12" s="100"/>
      <c r="J12" s="99"/>
      <c r="K12" s="99"/>
      <c r="M12" s="120"/>
      <c r="N12" s="2">
        <v>0.15</v>
      </c>
      <c r="O12" s="31">
        <f>N12*D46</f>
        <v>39.75</v>
      </c>
      <c r="P12" s="34">
        <f>Q12*O12/(D46-O12)</f>
        <v>0.0017647058823529412</v>
      </c>
      <c r="Q12" s="31">
        <f>D25</f>
        <v>0.01</v>
      </c>
      <c r="R12" s="34">
        <f>Q12*(D43-O12)/(D46-O12)</f>
        <v>-0.00021087680355160932</v>
      </c>
      <c r="S12" s="31">
        <f>1000*0.85*D1*(P12-(250*P12^2))</f>
        <v>13.045036764705879</v>
      </c>
      <c r="T12" s="31">
        <f>D8</f>
        <v>326.0869565217392</v>
      </c>
      <c r="U12" s="31">
        <f>MAX(R12*D31,-D5)</f>
        <v>-43.44062153163152</v>
      </c>
      <c r="V12" s="36">
        <f>(S12*D52*0.8*O12)-((D38*T12)+(D36*U12))</f>
        <v>-6132.956030135669</v>
      </c>
      <c r="W12" s="36">
        <f>((S12*D52*0.8*O12)*((0.5*(D46+D40))-(0.4*O12)))+(((D38*T12)-(D36*U12))*0.5*(D46-D43))</f>
        <v>36321698.38557852</v>
      </c>
      <c r="X12" s="18">
        <f t="shared" si="0"/>
        <v>-6.132956030135668</v>
      </c>
      <c r="Y12" s="19">
        <f t="shared" si="1"/>
        <v>36.32169838557852</v>
      </c>
    </row>
    <row r="13" spans="1:25" ht="13.5" thickTop="1">
      <c r="A13" s="177"/>
      <c r="B13" s="153" t="s">
        <v>12</v>
      </c>
      <c r="C13" s="180" t="s">
        <v>24</v>
      </c>
      <c r="D13" s="173">
        <v>0.0035</v>
      </c>
      <c r="E13" s="100"/>
      <c r="F13" s="100"/>
      <c r="G13" s="100"/>
      <c r="H13" s="100"/>
      <c r="I13" s="100"/>
      <c r="J13" s="100"/>
      <c r="K13" s="100"/>
      <c r="M13" s="11"/>
      <c r="N13" s="14">
        <f>1/6</f>
        <v>0.16666666666666666</v>
      </c>
      <c r="O13" s="15">
        <f>N13*D46</f>
        <v>44.166666666666664</v>
      </c>
      <c r="P13" s="63">
        <f>Q13*O13/(D46-O13)</f>
        <v>0.002</v>
      </c>
      <c r="Q13" s="15">
        <f>D25</f>
        <v>0.01</v>
      </c>
      <c r="R13" s="35">
        <f>Q13*(D43-O13)/(D46-O13)</f>
        <v>-0.0004150943396226414</v>
      </c>
      <c r="S13" s="15">
        <f>1000*0.85*D1*(P13-(250*P13^2))</f>
        <v>13.228124999999999</v>
      </c>
      <c r="T13" s="15">
        <f>D8</f>
        <v>326.0869565217392</v>
      </c>
      <c r="U13" s="15">
        <f>MAX(R13*D31,-D5)</f>
        <v>-85.50943396226413</v>
      </c>
      <c r="V13" s="37">
        <f>(S13*D52*0.8*O13)-((D38*T13)+(D36*U13))</f>
        <v>29071.30957752251</v>
      </c>
      <c r="W13" s="37">
        <f>((S13*D52*0.8*O13)*((0.5*(D46+D40))-(0.4*O13)))+(((D38*T13)-(D36*U13))*0.5*(D46-D43))</f>
        <v>40423648.1014151</v>
      </c>
      <c r="X13" s="20">
        <f t="shared" si="0"/>
        <v>29.07130957752251</v>
      </c>
      <c r="Y13" s="21">
        <f t="shared" si="1"/>
        <v>40.4236481014151</v>
      </c>
    </row>
    <row r="14" spans="1:25" ht="12.75">
      <c r="A14" s="177"/>
      <c r="B14" s="139"/>
      <c r="C14" s="165"/>
      <c r="D14" s="174"/>
      <c r="E14" s="100"/>
      <c r="F14" s="100"/>
      <c r="G14" s="100"/>
      <c r="H14" s="100"/>
      <c r="I14" s="100"/>
      <c r="J14" s="100"/>
      <c r="K14" s="100"/>
      <c r="M14" s="120" t="s">
        <v>13</v>
      </c>
      <c r="N14" s="9">
        <v>0.2</v>
      </c>
      <c r="O14" s="39">
        <f>N14*D46</f>
        <v>53</v>
      </c>
      <c r="P14" s="48">
        <f>Q14*O14/(D46-O14)</f>
        <v>0.0025</v>
      </c>
      <c r="Q14" s="39">
        <f>D25</f>
        <v>0.01</v>
      </c>
      <c r="R14" s="48">
        <f>Q14*(D43-O14)/(D46-O14)</f>
        <v>-0.0008490566037735849</v>
      </c>
      <c r="S14" s="39">
        <f>0.85*D1</f>
        <v>13.228124999999999</v>
      </c>
      <c r="T14" s="39">
        <f>D8</f>
        <v>326.0869565217392</v>
      </c>
      <c r="U14" s="39">
        <f>MAX(R14*D31,-D5)</f>
        <v>-174.9056603773585</v>
      </c>
      <c r="V14" s="45">
        <f>(S14*D52*0.8*O14)-((D38*T14)+(D36*U14))</f>
        <v>98415.9911812961</v>
      </c>
      <c r="W14" s="45">
        <f>((S14*D52*0.8*O14)*((0.5*(D46+D40))-(0.4*O14)))+(((D38*T14)-(D36*U14))*0.5*(D46-D43))</f>
        <v>48289851.135849066</v>
      </c>
      <c r="X14" s="52">
        <f>V14/1000</f>
        <v>98.4159911812961</v>
      </c>
      <c r="Y14" s="60">
        <f>W14/POWER(1000,2)</f>
        <v>48.28985113584907</v>
      </c>
    </row>
    <row r="15" spans="1:25" ht="12.75">
      <c r="A15" s="177"/>
      <c r="B15" s="139"/>
      <c r="C15" s="166"/>
      <c r="D15" s="175"/>
      <c r="E15" s="100"/>
      <c r="F15" s="100"/>
      <c r="G15" s="100"/>
      <c r="H15" s="100"/>
      <c r="I15" s="100"/>
      <c r="J15" s="100"/>
      <c r="K15" s="100"/>
      <c r="M15" s="120"/>
      <c r="N15" s="8">
        <v>0.25</v>
      </c>
      <c r="O15" s="39">
        <f>N15*D46</f>
        <v>66.25</v>
      </c>
      <c r="P15" s="34">
        <f>Q15*O15/(D46-O15)</f>
        <v>0.003333333333333333</v>
      </c>
      <c r="Q15" s="31">
        <f>D25</f>
        <v>0.01</v>
      </c>
      <c r="R15" s="48">
        <f>Q15*(D43-O15)/(D46-O15)</f>
        <v>-0.0015723270440251573</v>
      </c>
      <c r="S15" s="31">
        <f>0.85*D1</f>
        <v>13.228124999999999</v>
      </c>
      <c r="T15" s="31">
        <f>D8</f>
        <v>326.0869565217392</v>
      </c>
      <c r="U15" s="31">
        <f>MAX(R15*D31,-D5)</f>
        <v>-323.8993710691824</v>
      </c>
      <c r="V15" s="36">
        <f>(S15*D52*0.8*O15)-((D38*T15)+(D36*U15))</f>
        <v>209316.52302091874</v>
      </c>
      <c r="W15" s="36">
        <f>((S15*D52*0.8*O15)*((0.5*(D46+D40))-(0.4*O15)))+(((D38*T15)-(D36*U15))*0.5*(D46-D43))</f>
        <v>60509181.24115566</v>
      </c>
      <c r="X15" s="18">
        <f t="shared" si="0"/>
        <v>209.31652302091874</v>
      </c>
      <c r="Y15" s="19">
        <f t="shared" si="1"/>
        <v>60.50918124115566</v>
      </c>
    </row>
    <row r="16" spans="1:25" ht="12.75">
      <c r="A16" s="177"/>
      <c r="B16" s="139"/>
      <c r="C16" s="164" t="s">
        <v>25</v>
      </c>
      <c r="D16" s="179">
        <v>0.002</v>
      </c>
      <c r="E16" s="100"/>
      <c r="F16" s="100"/>
      <c r="G16" s="100"/>
      <c r="H16" s="100"/>
      <c r="I16" s="100"/>
      <c r="J16" s="100"/>
      <c r="K16" s="100"/>
      <c r="M16" s="120"/>
      <c r="N16" s="107">
        <f>O16/D46</f>
        <v>0.25068760657901973</v>
      </c>
      <c r="O16" s="39">
        <f>((-R16*D46)+(Q16*D43))/(-R16+Q16)</f>
        <v>66.43221574344022</v>
      </c>
      <c r="P16" s="34">
        <f>Q16*O16/(D46-O16)</f>
        <v>0.003345568667755611</v>
      </c>
      <c r="Q16" s="31">
        <f>D25</f>
        <v>0.01</v>
      </c>
      <c r="R16" s="53">
        <f>-D22</f>
        <v>-0.001582946390882229</v>
      </c>
      <c r="S16" s="31">
        <f>0.85*D1</f>
        <v>13.228124999999999</v>
      </c>
      <c r="T16" s="31">
        <f>D8</f>
        <v>326.0869565217392</v>
      </c>
      <c r="U16" s="31">
        <f>MAX(R16*D31,-D5)</f>
        <v>-326.0869565217392</v>
      </c>
      <c r="V16" s="36">
        <f>(S16*D52*0.8*O16)-((D38*T16)+(D36*U16))</f>
        <v>210905.67693148684</v>
      </c>
      <c r="W16" s="36">
        <f>((S16*D52*0.8*O16)*((0.5*(D46+D40))-(0.4*O16)))+(((D38*T16)-(D36*U16))*0.5*(D46-D43))</f>
        <v>60681478.9671515</v>
      </c>
      <c r="X16" s="18">
        <f t="shared" si="0"/>
        <v>210.90567693148685</v>
      </c>
      <c r="Y16" s="19">
        <f t="shared" si="1"/>
        <v>60.6814789671515</v>
      </c>
    </row>
    <row r="17" spans="1:25" ht="12.75">
      <c r="A17" s="177"/>
      <c r="B17" s="139"/>
      <c r="C17" s="165"/>
      <c r="D17" s="174"/>
      <c r="E17" s="100"/>
      <c r="F17" s="100"/>
      <c r="G17" s="100"/>
      <c r="H17" s="100"/>
      <c r="I17" s="100"/>
      <c r="J17" s="100"/>
      <c r="K17" s="100"/>
      <c r="M17" s="11"/>
      <c r="N17" s="14">
        <f>1/(1+D25/D13)</f>
        <v>0.25925925925925924</v>
      </c>
      <c r="O17" s="15">
        <f>N17*D46</f>
        <v>68.7037037037037</v>
      </c>
      <c r="P17" s="63">
        <f>Q17*O17/(D46-O17)</f>
        <v>0.0034999999999999996</v>
      </c>
      <c r="Q17" s="62">
        <f>D25</f>
        <v>0.01</v>
      </c>
      <c r="R17" s="35">
        <f>Q17*(D43-O17)/(D46-O17)</f>
        <v>-0.0017169811320754712</v>
      </c>
      <c r="S17" s="15">
        <f>0.85*D1</f>
        <v>13.228124999999999</v>
      </c>
      <c r="T17" s="15">
        <f>D8</f>
        <v>326.0869565217392</v>
      </c>
      <c r="U17" s="15">
        <f>MAX(R17*D31,-D5)</f>
        <v>-326.0869565217392</v>
      </c>
      <c r="V17" s="37">
        <f>(S17*D52*0.8*O17)-((D38*T17)+(D36*U17))</f>
        <v>218117.0833333333</v>
      </c>
      <c r="W17" s="37">
        <f>((S17*D52*0.8*O17)*((0.5*(D46+D40))-(0.4*O17)))+(((D38*T17)-(D36*U17))*0.5*(D46-D43))</f>
        <v>61373381.91358025</v>
      </c>
      <c r="X17" s="20">
        <f t="shared" si="0"/>
        <v>218.1170833333333</v>
      </c>
      <c r="Y17" s="21">
        <f t="shared" si="1"/>
        <v>61.37338191358025</v>
      </c>
    </row>
    <row r="18" spans="1:25" ht="13.5" thickBot="1">
      <c r="A18" s="177"/>
      <c r="B18" s="139"/>
      <c r="C18" s="181"/>
      <c r="D18" s="196"/>
      <c r="E18" s="100"/>
      <c r="F18" s="100"/>
      <c r="G18" s="100"/>
      <c r="H18" s="100"/>
      <c r="I18" s="100"/>
      <c r="J18" s="100"/>
      <c r="K18" s="100"/>
      <c r="M18" s="120">
        <v>3</v>
      </c>
      <c r="N18" s="8">
        <v>0.3</v>
      </c>
      <c r="O18" s="39">
        <f>N18*D46</f>
        <v>79.5</v>
      </c>
      <c r="P18" s="38">
        <f>D13</f>
        <v>0.0035</v>
      </c>
      <c r="Q18" s="34">
        <f>P18*(D46-O18)/O18</f>
        <v>0.008166666666666666</v>
      </c>
      <c r="R18" s="34">
        <f>P18*(D43-O18)/O18</f>
        <v>-0.001959119496855346</v>
      </c>
      <c r="S18" s="31">
        <f>0.85*D1</f>
        <v>13.228124999999999</v>
      </c>
      <c r="T18" s="39">
        <f>D8</f>
        <v>326.0869565217392</v>
      </c>
      <c r="U18" s="39">
        <f>MAX(R18*D31,-D5)</f>
        <v>-326.0869565217392</v>
      </c>
      <c r="V18" s="45">
        <f>(S18*D52*0.8*O18)-((D38*T18)+(D36*U18))</f>
        <v>252392.625</v>
      </c>
      <c r="W18" s="45">
        <f>((S18*D52*0.8*O18)*((0.5*(D46+D40))-(0.4*O18)))+(((D38*T18)-(D36*U18))*0.5*(D46-D43))</f>
        <v>64482808.275000006</v>
      </c>
      <c r="X18" s="18">
        <f t="shared" si="0"/>
        <v>252.392625</v>
      </c>
      <c r="Y18" s="19">
        <f t="shared" si="1"/>
        <v>64.48280827500001</v>
      </c>
    </row>
    <row r="19" spans="1:25" ht="13.5" thickTop="1">
      <c r="A19" s="177"/>
      <c r="B19" s="139"/>
      <c r="C19" s="180" t="s">
        <v>26</v>
      </c>
      <c r="D19" s="173">
        <v>0.01</v>
      </c>
      <c r="E19" s="100"/>
      <c r="F19" s="100"/>
      <c r="G19" s="100"/>
      <c r="H19" s="100"/>
      <c r="I19" s="100"/>
      <c r="J19" s="100"/>
      <c r="K19" s="100"/>
      <c r="M19" s="120"/>
      <c r="N19" s="2">
        <v>0.35</v>
      </c>
      <c r="O19" s="39">
        <f>N19*D46</f>
        <v>92.75</v>
      </c>
      <c r="P19" s="38">
        <f>D13</f>
        <v>0.0035</v>
      </c>
      <c r="Q19" s="34">
        <f>P19*(D46-O19)/O19</f>
        <v>0.006500000000000001</v>
      </c>
      <c r="R19" s="34">
        <f>P19*(D43-O19)/O19</f>
        <v>-0.002179245283018868</v>
      </c>
      <c r="S19" s="31">
        <f>0.85*D1</f>
        <v>13.228124999999999</v>
      </c>
      <c r="T19" s="39">
        <f>D8</f>
        <v>326.0869565217392</v>
      </c>
      <c r="U19" s="39">
        <f>MAX(R19*D31,-D5)</f>
        <v>-326.0869565217392</v>
      </c>
      <c r="V19" s="45">
        <f>(S19*D52*0.8*O19)-((D38*T19)+(D36*U19))</f>
        <v>294458.0625</v>
      </c>
      <c r="W19" s="45">
        <f>((S19*D52*0.8*O19)*((0.5*(D46+D40))-(0.4*O19)))+(((D38*T19)-(D36*U19))*0.5*(D46-D43))</f>
        <v>67894315.25625001</v>
      </c>
      <c r="X19" s="18">
        <f t="shared" si="0"/>
        <v>294.4580625</v>
      </c>
      <c r="Y19" s="19">
        <f t="shared" si="1"/>
        <v>67.89431525625001</v>
      </c>
    </row>
    <row r="20" spans="1:25" ht="12.75">
      <c r="A20" s="177"/>
      <c r="B20" s="139"/>
      <c r="C20" s="165"/>
      <c r="D20" s="174"/>
      <c r="E20" s="100"/>
      <c r="F20" s="100"/>
      <c r="G20" s="100"/>
      <c r="H20" s="100"/>
      <c r="I20" s="100"/>
      <c r="J20" s="100"/>
      <c r="K20" s="100"/>
      <c r="M20" s="120"/>
      <c r="N20" s="8">
        <v>0.4</v>
      </c>
      <c r="O20" s="39">
        <f>N20*D46</f>
        <v>106</v>
      </c>
      <c r="P20" s="38">
        <f>D13</f>
        <v>0.0035</v>
      </c>
      <c r="Q20" s="34">
        <f>P20*(D46-O20)/O20</f>
        <v>0.00525</v>
      </c>
      <c r="R20" s="34">
        <f>P20*(D43-O20)/O20</f>
        <v>-0.0023443396226415095</v>
      </c>
      <c r="S20" s="31">
        <f>0.85*D1</f>
        <v>13.228124999999999</v>
      </c>
      <c r="T20" s="39">
        <f>D8</f>
        <v>326.0869565217392</v>
      </c>
      <c r="U20" s="39">
        <f>MAX(R20*D31,-D5)</f>
        <v>-326.0869565217392</v>
      </c>
      <c r="V20" s="45">
        <f>(S20*D52*0.8*O20)-((D38*T20)+(D36*U20))</f>
        <v>336523.5</v>
      </c>
      <c r="W20" s="45">
        <f>((S20*D52*0.8*O20)*((0.5*(D46+D40))-(0.4*O20)))+(((D38*T20)-(D36*U20))*0.5*(D46-D43))</f>
        <v>70859928.60000001</v>
      </c>
      <c r="X20" s="18">
        <f t="shared" si="0"/>
        <v>336.5235</v>
      </c>
      <c r="Y20" s="19">
        <f t="shared" si="1"/>
        <v>70.8599286</v>
      </c>
    </row>
    <row r="21" spans="1:25" ht="12.75">
      <c r="A21" s="177"/>
      <c r="B21" s="139"/>
      <c r="C21" s="166"/>
      <c r="D21" s="175"/>
      <c r="E21" s="100"/>
      <c r="F21" s="100"/>
      <c r="G21" s="100"/>
      <c r="H21" s="100"/>
      <c r="I21" s="100"/>
      <c r="J21" s="100"/>
      <c r="K21" s="100"/>
      <c r="M21" s="120"/>
      <c r="N21" s="2">
        <v>0.45</v>
      </c>
      <c r="O21" s="39">
        <f>N21*D46</f>
        <v>119.25</v>
      </c>
      <c r="P21" s="38">
        <f>D13</f>
        <v>0.0035</v>
      </c>
      <c r="Q21" s="34">
        <f>P21*(D46-O21)/O21</f>
        <v>0.004277777777777778</v>
      </c>
      <c r="R21" s="34">
        <f>P21*(D43-O21)/O21</f>
        <v>-0.0024727463312368973</v>
      </c>
      <c r="S21" s="31">
        <f>0.85*D1</f>
        <v>13.228124999999999</v>
      </c>
      <c r="T21" s="39">
        <f>D8</f>
        <v>326.0869565217392</v>
      </c>
      <c r="U21" s="39">
        <f>MAX(R21*D31,-D5)</f>
        <v>-326.0869565217392</v>
      </c>
      <c r="V21" s="45">
        <f>(S21*D52*0.8*O21)-((D38*T21)+(D36*U21))</f>
        <v>378588.9375</v>
      </c>
      <c r="W21" s="45">
        <f>((S21*D52*0.8*O21)*((0.5*(D46+D40))-(0.4*O21)))+(((D38*T21)-(D36*U21))*0.5*(D46-D43))</f>
        <v>73379648.30625</v>
      </c>
      <c r="X21" s="18">
        <f t="shared" si="0"/>
        <v>378.5889375</v>
      </c>
      <c r="Y21" s="19">
        <f t="shared" si="1"/>
        <v>73.37964830625</v>
      </c>
    </row>
    <row r="22" spans="1:25" ht="12.75">
      <c r="A22" s="177"/>
      <c r="B22" s="139"/>
      <c r="C22" s="164" t="s">
        <v>27</v>
      </c>
      <c r="D22" s="179">
        <f>D5/D31</f>
        <v>0.001582946390882229</v>
      </c>
      <c r="E22" s="100"/>
      <c r="F22" s="100"/>
      <c r="G22" s="100"/>
      <c r="H22" s="100"/>
      <c r="I22" s="100"/>
      <c r="J22" s="100"/>
      <c r="K22" s="100"/>
      <c r="M22" s="120"/>
      <c r="N22" s="8">
        <v>0.5</v>
      </c>
      <c r="O22" s="39">
        <f>N22*D46</f>
        <v>132.5</v>
      </c>
      <c r="P22" s="38">
        <f>D13</f>
        <v>0.0035</v>
      </c>
      <c r="Q22" s="34">
        <f>P22*(D46-O22)/O22</f>
        <v>0.0035</v>
      </c>
      <c r="R22" s="34">
        <f>P22*(D43-O22)/O22</f>
        <v>-0.0025754716981132076</v>
      </c>
      <c r="S22" s="31">
        <f>0.85*D1</f>
        <v>13.228124999999999</v>
      </c>
      <c r="T22" s="39">
        <f>D8</f>
        <v>326.0869565217392</v>
      </c>
      <c r="U22" s="39">
        <f>MAX(R22*D31,-D5)</f>
        <v>-326.0869565217392</v>
      </c>
      <c r="V22" s="45">
        <f>(S22*D52*0.8*O22)-((D38*T22)+(D36*U22))</f>
        <v>420654.375</v>
      </c>
      <c r="W22" s="45">
        <f>((S22*D52*0.8*O22)*((0.5*(D46+D40))-(0.4*O22)))+(((D38*T22)-(D36*U22))*0.5*(D46-D43))</f>
        <v>75453474.375</v>
      </c>
      <c r="X22" s="18">
        <f t="shared" si="0"/>
        <v>420.654375</v>
      </c>
      <c r="Y22" s="19">
        <f t="shared" si="1"/>
        <v>75.453474375</v>
      </c>
    </row>
    <row r="23" spans="1:25" ht="12.75">
      <c r="A23" s="177"/>
      <c r="B23" s="139"/>
      <c r="C23" s="165"/>
      <c r="D23" s="174"/>
      <c r="E23" s="100"/>
      <c r="F23" s="100"/>
      <c r="G23" s="100"/>
      <c r="H23" s="100"/>
      <c r="I23" s="100"/>
      <c r="J23" s="100"/>
      <c r="K23" s="100"/>
      <c r="M23" s="120"/>
      <c r="N23" s="2">
        <v>0.55</v>
      </c>
      <c r="O23" s="39">
        <f>N23*D46</f>
        <v>145.75</v>
      </c>
      <c r="P23" s="38">
        <f>D13</f>
        <v>0.0035</v>
      </c>
      <c r="Q23" s="34">
        <f>P23*(D46-O23)/O23</f>
        <v>0.0028636363636363638</v>
      </c>
      <c r="R23" s="34">
        <f>P23*(D43-O23)/O23</f>
        <v>-0.0026595197255574613</v>
      </c>
      <c r="S23" s="31">
        <f>0.85*D1</f>
        <v>13.228124999999999</v>
      </c>
      <c r="T23" s="39">
        <f>D8</f>
        <v>326.0869565217392</v>
      </c>
      <c r="U23" s="39">
        <f>MAX(R23*D31,-D5)</f>
        <v>-326.0869565217392</v>
      </c>
      <c r="V23" s="45">
        <f>(S23*D52*0.8*O23)-((D38*T23)+(D36*U23))</f>
        <v>462719.8125</v>
      </c>
      <c r="W23" s="45">
        <f>((S23*D52*0.8*O23)*((0.5*(D46+D40))-(0.4*O23)))+(((D38*T23)-(D36*U23))*0.5*(D46-D43))</f>
        <v>77081406.80625</v>
      </c>
      <c r="X23" s="18">
        <f t="shared" si="0"/>
        <v>462.7198125</v>
      </c>
      <c r="Y23" s="19">
        <f t="shared" si="1"/>
        <v>77.08140680625</v>
      </c>
    </row>
    <row r="24" spans="1:25" ht="12.75">
      <c r="A24" s="177"/>
      <c r="B24" s="139"/>
      <c r="C24" s="166"/>
      <c r="D24" s="175"/>
      <c r="E24" s="100"/>
      <c r="F24" s="100"/>
      <c r="G24" s="100"/>
      <c r="H24" s="100"/>
      <c r="I24" s="100"/>
      <c r="J24" s="100"/>
      <c r="K24" s="100"/>
      <c r="M24" s="120"/>
      <c r="N24" s="8">
        <v>0.6</v>
      </c>
      <c r="O24" s="39">
        <f>N24*D46</f>
        <v>159</v>
      </c>
      <c r="P24" s="38">
        <f>D13</f>
        <v>0.0035</v>
      </c>
      <c r="Q24" s="34">
        <f>P24*(D46-O24)/O24</f>
        <v>0.0023333333333333335</v>
      </c>
      <c r="R24" s="34">
        <f>P24*(D43-O24)/O24</f>
        <v>-0.002729559748427673</v>
      </c>
      <c r="S24" s="31">
        <f>0.85*D1</f>
        <v>13.228124999999999</v>
      </c>
      <c r="T24" s="39">
        <f>D8</f>
        <v>326.0869565217392</v>
      </c>
      <c r="U24" s="39">
        <f>MAX(R24*D31,-D5)</f>
        <v>-326.0869565217392</v>
      </c>
      <c r="V24" s="45">
        <f>(S24*D52*0.8*O24)-((D38*T24)+(D36*U24))</f>
        <v>504785.25</v>
      </c>
      <c r="W24" s="45">
        <f>((S24*D52*0.8*O24)*((0.5*(D46+D40))-(0.4*O24)))+(((D38*T24)-(D36*U24))*0.5*(D46-D43))</f>
        <v>78263445.60000001</v>
      </c>
      <c r="X24" s="18">
        <f t="shared" si="0"/>
        <v>504.78525</v>
      </c>
      <c r="Y24" s="19">
        <f t="shared" si="1"/>
        <v>78.26344560000001</v>
      </c>
    </row>
    <row r="25" spans="1:25" ht="12.75">
      <c r="A25" s="177"/>
      <c r="B25" s="139"/>
      <c r="C25" s="164" t="s">
        <v>28</v>
      </c>
      <c r="D25" s="179">
        <v>0.01</v>
      </c>
      <c r="E25" s="100"/>
      <c r="F25" s="100"/>
      <c r="G25" s="100"/>
      <c r="H25" s="100"/>
      <c r="I25" s="100"/>
      <c r="J25" s="100"/>
      <c r="K25" s="100"/>
      <c r="M25" s="120"/>
      <c r="N25" s="2">
        <v>0.65</v>
      </c>
      <c r="O25" s="39">
        <f>N25*D46</f>
        <v>172.25</v>
      </c>
      <c r="P25" s="38">
        <f>D13</f>
        <v>0.0035</v>
      </c>
      <c r="Q25" s="34">
        <f>P25*(D46-O25)/O25</f>
        <v>0.0018846153846153845</v>
      </c>
      <c r="R25" s="34">
        <f>P25*(D43-O25)/O25</f>
        <v>-0.002788824383164006</v>
      </c>
      <c r="S25" s="31">
        <f>0.85*D1</f>
        <v>13.228124999999999</v>
      </c>
      <c r="T25" s="39">
        <f>D8</f>
        <v>326.0869565217392</v>
      </c>
      <c r="U25" s="39">
        <f>MAX(R25*D31,-D5)</f>
        <v>-326.0869565217392</v>
      </c>
      <c r="V25" s="45">
        <f>(S25*D52*0.8*O25)-((D38*T25)+(D36*U25))</f>
        <v>546850.6875</v>
      </c>
      <c r="W25" s="45">
        <f>((S25*D52*0.8*O25)*((0.5*(D46+D40))-(0.4*O25)))+(((D38*T25)-(D36*U25))*0.5*(D46-D43))</f>
        <v>78999590.75625</v>
      </c>
      <c r="X25" s="18">
        <f t="shared" si="0"/>
        <v>546.8506875</v>
      </c>
      <c r="Y25" s="19">
        <f t="shared" si="1"/>
        <v>78.99959075625</v>
      </c>
    </row>
    <row r="26" spans="1:25" ht="12.75">
      <c r="A26" s="177"/>
      <c r="B26" s="139"/>
      <c r="C26" s="165"/>
      <c r="D26" s="174"/>
      <c r="E26" s="100"/>
      <c r="F26" s="100"/>
      <c r="G26" s="100"/>
      <c r="H26" s="100"/>
      <c r="I26" s="100"/>
      <c r="J26" s="100"/>
      <c r="K26" s="100"/>
      <c r="M26" s="11"/>
      <c r="N26" s="14">
        <f>1/(1+D28/D13)</f>
        <v>0.6885770045260142</v>
      </c>
      <c r="O26" s="15">
        <f>N26*D46</f>
        <v>182.47290619939378</v>
      </c>
      <c r="P26" s="46">
        <f>D13</f>
        <v>0.0035</v>
      </c>
      <c r="Q26" s="61">
        <f>P26*(D46-O26)/O26</f>
        <v>0.0015829463908822283</v>
      </c>
      <c r="R26" s="35">
        <f>P26*(D43-O26)/O26</f>
        <v>-0.002828667457808008</v>
      </c>
      <c r="S26" s="15">
        <f>0.85*D1</f>
        <v>13.228124999999999</v>
      </c>
      <c r="T26" s="15">
        <f>Q26*D31</f>
        <v>326.086956521739</v>
      </c>
      <c r="U26" s="15">
        <f>MAX(R26*D31,-D5)</f>
        <v>-326.0869565217392</v>
      </c>
      <c r="V26" s="37">
        <f>(S26*D52*0.8*O26)-((D38*T26)+(D36*U26))</f>
        <v>579305.8589565255</v>
      </c>
      <c r="W26" s="37">
        <f>((S26*D52*0.8*O26)*((0.5*(D46+D40))-(0.4*O26)))+(((D38*T26)-(D36*U26))*0.5*(D46-D43))</f>
        <v>79262829.37862548</v>
      </c>
      <c r="X26" s="20">
        <f t="shared" si="0"/>
        <v>579.3058589565254</v>
      </c>
      <c r="Y26" s="21">
        <f t="shared" si="1"/>
        <v>79.26282937862548</v>
      </c>
    </row>
    <row r="27" spans="1:25" ht="12.75">
      <c r="A27" s="177"/>
      <c r="B27" s="139"/>
      <c r="C27" s="166"/>
      <c r="D27" s="175"/>
      <c r="E27" s="100"/>
      <c r="F27" s="100"/>
      <c r="G27" s="100"/>
      <c r="H27" s="100"/>
      <c r="I27" s="100"/>
      <c r="J27" s="100"/>
      <c r="K27" s="100"/>
      <c r="M27" s="120">
        <v>4</v>
      </c>
      <c r="N27" s="8">
        <v>0.7</v>
      </c>
      <c r="O27" s="39">
        <f>N27*D46</f>
        <v>185.5</v>
      </c>
      <c r="P27" s="38">
        <f>D13</f>
        <v>0.0035</v>
      </c>
      <c r="Q27" s="34">
        <f>P27*(D46-O27)/O27</f>
        <v>0.0015</v>
      </c>
      <c r="R27" s="34">
        <f>P27*(D43-O27)/O27</f>
        <v>-0.002839622641509434</v>
      </c>
      <c r="S27" s="31">
        <f>0.85*D1</f>
        <v>13.228124999999999</v>
      </c>
      <c r="T27" s="31">
        <f>Q27*D31</f>
        <v>309</v>
      </c>
      <c r="U27" s="39">
        <f>MAX(R27*D31,-D5)</f>
        <v>-326.0869565217392</v>
      </c>
      <c r="V27" s="45">
        <f>(S27*D52*0.8*O27)-((D38*T27)+(D36*U27))</f>
        <v>596810.2989130435</v>
      </c>
      <c r="W27" s="45">
        <f>((S27*D52*0.8*O27)*((0.5*(D46+D40))-(0.4*O27)))+(((D38*T27)-(D36*U27))*0.5*(D46-D43))</f>
        <v>78382012.275</v>
      </c>
      <c r="X27" s="18">
        <f t="shared" si="0"/>
        <v>596.8102989130434</v>
      </c>
      <c r="Y27" s="19">
        <f t="shared" si="1"/>
        <v>78.38201227500001</v>
      </c>
    </row>
    <row r="28" spans="1:25" ht="12.75">
      <c r="A28" s="177"/>
      <c r="B28" s="139"/>
      <c r="C28" s="164" t="s">
        <v>29</v>
      </c>
      <c r="D28" s="179">
        <f>D8/D31</f>
        <v>0.001582946390882229</v>
      </c>
      <c r="E28" s="100"/>
      <c r="F28" s="100"/>
      <c r="G28" s="100"/>
      <c r="H28" s="100"/>
      <c r="I28" s="100"/>
      <c r="J28" s="100"/>
      <c r="K28" s="100"/>
      <c r="M28" s="120"/>
      <c r="N28" s="2">
        <v>0.75</v>
      </c>
      <c r="O28" s="39">
        <f>N28*D46</f>
        <v>198.75</v>
      </c>
      <c r="P28" s="38">
        <f>D13</f>
        <v>0.0035</v>
      </c>
      <c r="Q28" s="34">
        <f>P28*(D46-O28)/O28</f>
        <v>0.0011666666666666668</v>
      </c>
      <c r="R28" s="34">
        <f>P28*(D43-O28)/O28</f>
        <v>-0.0028836477987421384</v>
      </c>
      <c r="S28" s="31">
        <f>0.85*D1</f>
        <v>13.228124999999999</v>
      </c>
      <c r="T28" s="31">
        <f>Q28*D31</f>
        <v>240.33333333333334</v>
      </c>
      <c r="U28" s="39">
        <f>MAX(R28*D31,-D5)</f>
        <v>-326.0869565217392</v>
      </c>
      <c r="V28" s="45">
        <f>(S28*D52*0.8*O28)-((D38*T28)+(D36*U28))</f>
        <v>670599.7364130435</v>
      </c>
      <c r="W28" s="45">
        <f>((S28*D52*0.8*O28)*((0.5*(D46+D40))-(0.4*O28)))+(((D38*T28)-(D36*U28))*0.5*(D46-D43))</f>
        <v>74578110.15625</v>
      </c>
      <c r="X28" s="18">
        <f t="shared" si="0"/>
        <v>670.5997364130435</v>
      </c>
      <c r="Y28" s="19">
        <f t="shared" si="1"/>
        <v>74.57811015625</v>
      </c>
    </row>
    <row r="29" spans="1:25" ht="12.75">
      <c r="A29" s="177"/>
      <c r="B29" s="139"/>
      <c r="C29" s="165"/>
      <c r="D29" s="174"/>
      <c r="E29" s="100"/>
      <c r="F29" s="100"/>
      <c r="G29" s="99"/>
      <c r="H29" s="99"/>
      <c r="I29" s="99"/>
      <c r="J29" s="100"/>
      <c r="K29" s="100"/>
      <c r="M29" s="120"/>
      <c r="N29" s="8">
        <v>0.8</v>
      </c>
      <c r="O29" s="39">
        <f>N29*D46</f>
        <v>212</v>
      </c>
      <c r="P29" s="38">
        <f>D13</f>
        <v>0.0035</v>
      </c>
      <c r="Q29" s="34">
        <f>P29*(D46-O29)/O29</f>
        <v>0.000875</v>
      </c>
      <c r="R29" s="34">
        <f>P29*(D43-O29)/O29</f>
        <v>-0.002922169811320755</v>
      </c>
      <c r="S29" s="31">
        <f>0.85*D1</f>
        <v>13.228124999999999</v>
      </c>
      <c r="T29" s="31">
        <f>Q29*D31</f>
        <v>180.25</v>
      </c>
      <c r="U29" s="39">
        <f>MAX(R29*D31,-D5)</f>
        <v>-326.0869565217392</v>
      </c>
      <c r="V29" s="45">
        <f>(S29*D52*0.8*O29)-((D38*T29)+(D36*U29))</f>
        <v>740423.6739130435</v>
      </c>
      <c r="W29" s="45">
        <f>((S29*D52*0.8*O29)*((0.5*(D46+D40))-(0.4*O29)))+(((D38*T29)-(D36*U29))*0.5*(D46-D43))</f>
        <v>70784346.89999999</v>
      </c>
      <c r="X29" s="18">
        <f t="shared" si="0"/>
        <v>740.4236739130434</v>
      </c>
      <c r="Y29" s="19">
        <f t="shared" si="1"/>
        <v>70.78434689999999</v>
      </c>
    </row>
    <row r="30" spans="1:25" ht="12.75">
      <c r="A30" s="177"/>
      <c r="B30" s="156"/>
      <c r="C30" s="166"/>
      <c r="D30" s="175"/>
      <c r="E30" s="100"/>
      <c r="F30" s="100"/>
      <c r="G30" s="99"/>
      <c r="H30" s="99"/>
      <c r="I30" s="99"/>
      <c r="J30" s="100"/>
      <c r="K30" s="100"/>
      <c r="M30" s="120"/>
      <c r="N30" s="2">
        <v>0.85</v>
      </c>
      <c r="O30" s="39">
        <f>N30*D46</f>
        <v>225.25</v>
      </c>
      <c r="P30" s="38">
        <f>D13</f>
        <v>0.0035</v>
      </c>
      <c r="Q30" s="34">
        <f>P30*(D46-O30)/O30</f>
        <v>0.0006176470588235294</v>
      </c>
      <c r="R30" s="34">
        <f>P30*(D43-O30)/O30</f>
        <v>-0.002956159822419534</v>
      </c>
      <c r="S30" s="31">
        <f>0.85*D1</f>
        <v>13.228124999999999</v>
      </c>
      <c r="T30" s="31">
        <f>Q30*D31</f>
        <v>127.23529411764706</v>
      </c>
      <c r="U30" s="39">
        <f>MAX(R30*D31,-D5)</f>
        <v>-326.0869565217392</v>
      </c>
      <c r="V30" s="45">
        <f>(S30*D52*0.8*O30)-((D38*T30)+(D36*U30))</f>
        <v>806981.9055306906</v>
      </c>
      <c r="W30" s="45">
        <f>((S30*D52*0.8*O30)*((0.5*(D46+D40))-(0.4*O30)))+(((D38*T30)-(D36*U30))*0.5*(D46-D43))</f>
        <v>66920246.18272059</v>
      </c>
      <c r="X30" s="18">
        <f t="shared" si="0"/>
        <v>806.9819055306906</v>
      </c>
      <c r="Y30" s="19">
        <f t="shared" si="1"/>
        <v>66.92024618272059</v>
      </c>
    </row>
    <row r="31" spans="1:25" ht="12.75">
      <c r="A31" s="177"/>
      <c r="B31" s="138" t="s">
        <v>17</v>
      </c>
      <c r="C31" s="197" t="s">
        <v>30</v>
      </c>
      <c r="D31" s="162">
        <v>206000</v>
      </c>
      <c r="E31" s="99"/>
      <c r="F31" s="99"/>
      <c r="G31" s="99"/>
      <c r="H31" s="99"/>
      <c r="I31" s="99"/>
      <c r="J31" s="99"/>
      <c r="K31" s="99"/>
      <c r="M31" s="120"/>
      <c r="N31" s="8">
        <v>0.9</v>
      </c>
      <c r="O31" s="39">
        <f>N31*D46</f>
        <v>238.5</v>
      </c>
      <c r="P31" s="38">
        <f>D13</f>
        <v>0.0035</v>
      </c>
      <c r="Q31" s="34">
        <f>P31*(D46-O31)/O31</f>
        <v>0.00038888888888888887</v>
      </c>
      <c r="R31" s="34">
        <f>P31*(D43-O31)/O31</f>
        <v>-0.0029863731656184487</v>
      </c>
      <c r="S31" s="31">
        <f>0.85*D1</f>
        <v>13.228124999999999</v>
      </c>
      <c r="T31" s="31">
        <f>Q31*D31</f>
        <v>80.1111111111111</v>
      </c>
      <c r="U31" s="39">
        <f>MAX(R31*D31,-D5)</f>
        <v>-326.0869565217392</v>
      </c>
      <c r="V31" s="45">
        <f>(S31*D52*0.8*O31)-((D38*T31)+(D36*U31))</f>
        <v>870818.7155797102</v>
      </c>
      <c r="W31" s="45">
        <f>((S31*D52*0.8*O31)*((0.5*(D46+D40))-(0.4*O31)))+(((D38*T31)-(D36*U31))*0.5*(D46-D43))</f>
        <v>62923215.30833333</v>
      </c>
      <c r="X31" s="18">
        <f t="shared" si="0"/>
        <v>870.8187155797102</v>
      </c>
      <c r="Y31" s="19">
        <f t="shared" si="1"/>
        <v>62.92321530833333</v>
      </c>
    </row>
    <row r="32" spans="1:25" ht="12.75">
      <c r="A32" s="177"/>
      <c r="B32" s="139"/>
      <c r="C32" s="198"/>
      <c r="D32" s="182"/>
      <c r="E32" s="99"/>
      <c r="F32" s="99"/>
      <c r="G32" s="99"/>
      <c r="H32" s="99"/>
      <c r="I32" s="99"/>
      <c r="J32" s="99"/>
      <c r="K32" s="99"/>
      <c r="M32" s="120"/>
      <c r="N32" s="2">
        <v>0.95</v>
      </c>
      <c r="O32" s="39">
        <f>N32*D46</f>
        <v>251.75</v>
      </c>
      <c r="P32" s="38">
        <f>D13</f>
        <v>0.0035</v>
      </c>
      <c r="Q32" s="34">
        <f>P32*(D46-O32)/O32</f>
        <v>0.00018421052631578948</v>
      </c>
      <c r="R32" s="34">
        <f>P32*(D43-O32)/O32</f>
        <v>-0.003013406156901688</v>
      </c>
      <c r="S32" s="31">
        <f>0.85*D1</f>
        <v>13.228124999999999</v>
      </c>
      <c r="T32" s="31">
        <f>Q32*D31</f>
        <v>37.94736842105263</v>
      </c>
      <c r="U32" s="39">
        <f>MAX(R32*D31,-D5)</f>
        <v>-326.0869565217392</v>
      </c>
      <c r="V32" s="45">
        <f>(S32*D52*0.8*O32)-((D38*T32)+(D36*U32))</f>
        <v>932363.8022025172</v>
      </c>
      <c r="W32" s="45">
        <f>((S32*D52*0.8*O32)*((0.5*(D46+D40))-(0.4*O32)))+(((D38*T32)-(D36*U32))*0.5*(D46-D43))</f>
        <v>58743838.99046053</v>
      </c>
      <c r="X32" s="18">
        <f t="shared" si="0"/>
        <v>932.3638022025171</v>
      </c>
      <c r="Y32" s="19">
        <f t="shared" si="1"/>
        <v>58.74383899046053</v>
      </c>
    </row>
    <row r="33" spans="1:25" ht="12.75">
      <c r="A33" s="177"/>
      <c r="B33" s="139"/>
      <c r="C33" s="198"/>
      <c r="D33" s="182"/>
      <c r="E33" s="99"/>
      <c r="F33" s="99"/>
      <c r="G33" s="99"/>
      <c r="H33" s="99"/>
      <c r="I33" s="99"/>
      <c r="J33" s="99"/>
      <c r="K33" s="99"/>
      <c r="M33" s="11"/>
      <c r="N33" s="108">
        <f>O33/D46</f>
        <v>1</v>
      </c>
      <c r="O33" s="15">
        <f>D46</f>
        <v>265</v>
      </c>
      <c r="P33" s="46">
        <f>D13</f>
        <v>0.0035</v>
      </c>
      <c r="Q33" s="62">
        <f>P33*(D46-O33)/O33</f>
        <v>0</v>
      </c>
      <c r="R33" s="35">
        <f>P33*(D43-O33)/O33</f>
        <v>-0.003037735849056604</v>
      </c>
      <c r="S33" s="15">
        <f>0.85*D1</f>
        <v>13.228124999999999</v>
      </c>
      <c r="T33" s="15">
        <f>Q33*D31</f>
        <v>0</v>
      </c>
      <c r="U33" s="15">
        <f>MAX(R33*D31,-D5)</f>
        <v>-326.0869565217392</v>
      </c>
      <c r="V33" s="37">
        <f>(S33*D52*(MIN(D49,0.8*O33))-((D38*T33)+(D36*U33)))</f>
        <v>991960.9239130435</v>
      </c>
      <c r="W33" s="37">
        <f>((S33*D52*(MIN(D49,0.8*O33))*((0.5*(D46+D40))-(MIN(D49/2,0.4*O33)))+(((D38*T33)-(D36*U33))*0.5*(D46-D43))))</f>
        <v>54342585</v>
      </c>
      <c r="X33" s="20">
        <f t="shared" si="0"/>
        <v>991.9609239130434</v>
      </c>
      <c r="Y33" s="21">
        <f t="shared" si="1"/>
        <v>54.342585</v>
      </c>
    </row>
    <row r="34" spans="1:25" ht="12.75">
      <c r="A34" s="177"/>
      <c r="B34" s="139"/>
      <c r="C34" s="198"/>
      <c r="D34" s="182"/>
      <c r="E34" s="99"/>
      <c r="F34" s="99"/>
      <c r="G34" s="99"/>
      <c r="H34" s="99"/>
      <c r="I34" s="99"/>
      <c r="J34" s="99"/>
      <c r="K34" s="99"/>
      <c r="M34" s="120">
        <v>5</v>
      </c>
      <c r="N34" s="2">
        <v>1.05</v>
      </c>
      <c r="O34" s="31">
        <f>N34*D46</f>
        <v>278.25</v>
      </c>
      <c r="P34" s="47">
        <f>D13</f>
        <v>0.0035</v>
      </c>
      <c r="Q34" s="48">
        <f>P34*(D46-O34)/O34</f>
        <v>-0.00016666666666666666</v>
      </c>
      <c r="R34" s="48">
        <f>P34*(D43-O34)/O34</f>
        <v>-0.003059748427672956</v>
      </c>
      <c r="S34" s="39">
        <f>0.85*D1</f>
        <v>13.228124999999999</v>
      </c>
      <c r="T34" s="39">
        <f>Q34*D31</f>
        <v>-34.333333333333336</v>
      </c>
      <c r="U34" s="39">
        <f>MAX(R34*D31,-D5)</f>
        <v>-326.0869565217392</v>
      </c>
      <c r="V34" s="45">
        <f>(S34*D52*(MIN(D49,0.8*O34))-((D38*T34)+(D36*U34)))</f>
        <v>1049888.3614130435</v>
      </c>
      <c r="W34" s="45">
        <f>((S34*D52*(MIN(D49,0.8*O34))*((0.5*(D46+D40))-(MIN(D49/2,0.4*O34)))+(((D38*T34)-(D36*U34))*0.5*(D46-D43))))</f>
        <v>49687451.05624999</v>
      </c>
      <c r="X34" s="18">
        <f t="shared" si="0"/>
        <v>1049.8883614130434</v>
      </c>
      <c r="Y34" s="19">
        <f t="shared" si="1"/>
        <v>49.68745105624999</v>
      </c>
    </row>
    <row r="35" spans="1:25" ht="13.5" thickBot="1">
      <c r="A35" s="178"/>
      <c r="B35" s="140"/>
      <c r="C35" s="199"/>
      <c r="D35" s="183"/>
      <c r="E35" s="99"/>
      <c r="F35" s="99"/>
      <c r="G35" s="99"/>
      <c r="H35" s="99"/>
      <c r="I35" s="99"/>
      <c r="J35" s="99"/>
      <c r="K35" s="99"/>
      <c r="M35" s="120"/>
      <c r="N35" s="9">
        <v>1.1</v>
      </c>
      <c r="O35" s="39">
        <f>N35*D46</f>
        <v>291.5</v>
      </c>
      <c r="P35" s="47">
        <f>D13</f>
        <v>0.0035</v>
      </c>
      <c r="Q35" s="48">
        <f>P35*(D46-O35)/O35</f>
        <v>-0.0003181818181818182</v>
      </c>
      <c r="R35" s="48">
        <f>P35*(D43-O35)/O35</f>
        <v>-0.003079759862778731</v>
      </c>
      <c r="S35" s="39">
        <f>0.85*D1</f>
        <v>13.228124999999999</v>
      </c>
      <c r="T35" s="39">
        <f>Q35*D31</f>
        <v>-65.54545454545455</v>
      </c>
      <c r="U35" s="39">
        <f>MAX(R35*D31,-D5)</f>
        <v>-326.0869565217392</v>
      </c>
      <c r="V35" s="45">
        <f>(S35*D52*(MIN(D49,0.8*O35))-((D38*T35)+(D36*U35)))</f>
        <v>1106373.7989130435</v>
      </c>
      <c r="W35" s="45">
        <f>((S35*D52*(MIN(D49,0.8*O35))*((0.5*(D46+D40))-(MIN(D49/2,0.4*O35)))+(((D38*T35)-(D36*U35))*0.5*(D46-D43))))</f>
        <v>44752253.474999994</v>
      </c>
      <c r="X35" s="52">
        <f t="shared" si="0"/>
        <v>1106.3737989130434</v>
      </c>
      <c r="Y35" s="60">
        <f t="shared" si="1"/>
        <v>44.752253474999996</v>
      </c>
    </row>
    <row r="36" spans="1:25" ht="12.75">
      <c r="A36" s="176" t="s">
        <v>6</v>
      </c>
      <c r="B36" s="143" t="s">
        <v>31</v>
      </c>
      <c r="C36" s="143" t="s">
        <v>18</v>
      </c>
      <c r="D36" s="193">
        <v>462</v>
      </c>
      <c r="E36" s="99"/>
      <c r="F36" s="99"/>
      <c r="G36" s="99"/>
      <c r="H36" s="99"/>
      <c r="I36" s="99"/>
      <c r="J36" s="99"/>
      <c r="K36" s="99"/>
      <c r="M36" s="109"/>
      <c r="N36" s="14">
        <f>O36/D46</f>
        <v>1.1320754716981132</v>
      </c>
      <c r="O36" s="110">
        <f>D49</f>
        <v>300</v>
      </c>
      <c r="P36" s="81">
        <f>D16*O36/(O36-((3/7)*D49))</f>
        <v>0.0034999999999999996</v>
      </c>
      <c r="Q36" s="35">
        <f>-(D16-((D46-((3/7)*D49))*(P36-D16)/((3/7)*D49)))</f>
        <v>-0.00040833333333333346</v>
      </c>
      <c r="R36" s="35">
        <f>-(((P36-D16)*(((3/7)*D49)-D43)/((3/7)*D49))+D16)</f>
        <v>-0.003091666666666666</v>
      </c>
      <c r="S36" s="15">
        <f>0.85*D1</f>
        <v>13.228124999999999</v>
      </c>
      <c r="T36" s="15">
        <f>MAX(Q36*D31,-D8)</f>
        <v>-84.11666666666669</v>
      </c>
      <c r="U36" s="15">
        <f>MAX(R36*D31,-D5)</f>
        <v>-326.0869565217392</v>
      </c>
      <c r="V36" s="37">
        <f>(S36*D52*(MIN(D49,0.8*O36))-((D38*T36)+(D36*U36)))</f>
        <v>1141939.0739130434</v>
      </c>
      <c r="W36" s="37">
        <f>((S36*D52*(MIN(D49,0.8*O36))*((0.5*(D46+D40))-(MIN(D49/2,0.4*O36)))+(((D38*T36)-(D36*U36))*0.5*(D46-D43))))</f>
        <v>41428631.5</v>
      </c>
      <c r="X36" s="20">
        <f t="shared" si="0"/>
        <v>1141.9390739130433</v>
      </c>
      <c r="Y36" s="21">
        <f t="shared" si="1"/>
        <v>41.4286315</v>
      </c>
    </row>
    <row r="37" spans="1:25" ht="12.75">
      <c r="A37" s="187"/>
      <c r="B37" s="158"/>
      <c r="C37" s="144"/>
      <c r="D37" s="191"/>
      <c r="E37" s="99"/>
      <c r="F37" s="99"/>
      <c r="G37" s="99"/>
      <c r="H37" s="99"/>
      <c r="I37" s="99"/>
      <c r="J37" s="99"/>
      <c r="K37" s="99"/>
      <c r="M37" s="120">
        <v>6</v>
      </c>
      <c r="N37" s="8">
        <v>1.2</v>
      </c>
      <c r="O37" s="71">
        <f>N37*D46</f>
        <v>318</v>
      </c>
      <c r="P37" s="34">
        <f>D16*O37/(O37-((3/7)*D49))</f>
        <v>0.003357466063348416</v>
      </c>
      <c r="Q37" s="34">
        <f>-(D16-((D46-((3/7)*D49))*(P37-D16)/((3/7)*D49)))</f>
        <v>-0.0005595776772247363</v>
      </c>
      <c r="R37" s="34">
        <f>-(((P37-D16)*(((3/7)*D49)-D43)/((3/7)*D49))+D16)</f>
        <v>-0.0029879336349924583</v>
      </c>
      <c r="S37" s="39">
        <f>0.85*D1</f>
        <v>13.228124999999999</v>
      </c>
      <c r="T37" s="31">
        <f>MAX(Q37*D31,-D8)</f>
        <v>-115.27300150829566</v>
      </c>
      <c r="U37" s="39">
        <f>MAX(R37*D31,-D5)</f>
        <v>-326.0869565217392</v>
      </c>
      <c r="V37" s="45">
        <f>(S37*D52*(MIN(D49,0.8*O37))-((D38*T37)+(D36*U37)))</f>
        <v>1213478.800609876</v>
      </c>
      <c r="W37" s="45">
        <f>((S37*D52*(MIN(D49,0.8*O37))*((0.5*(D46+D40))-(MIN(D49/2,0.4*O37)))+(((D38*T37)-(D36*U37))*0.5*(D46-D43))))</f>
        <v>34218752.82986425</v>
      </c>
      <c r="X37" s="18">
        <f t="shared" si="0"/>
        <v>1213.4788006098759</v>
      </c>
      <c r="Y37" s="19">
        <f t="shared" si="1"/>
        <v>34.21875282986425</v>
      </c>
    </row>
    <row r="38" spans="1:25" ht="12.75">
      <c r="A38" s="187"/>
      <c r="B38" s="158"/>
      <c r="C38" s="158" t="s">
        <v>2</v>
      </c>
      <c r="D38" s="182">
        <v>462</v>
      </c>
      <c r="E38" s="99"/>
      <c r="F38" s="99"/>
      <c r="G38" s="99"/>
      <c r="H38" s="99"/>
      <c r="I38" s="99"/>
      <c r="J38" s="99"/>
      <c r="K38" s="99"/>
      <c r="M38" s="120"/>
      <c r="N38" s="8">
        <v>1.3</v>
      </c>
      <c r="O38" s="71">
        <f>N38*D46</f>
        <v>344.5</v>
      </c>
      <c r="P38" s="34">
        <f>D16*O38/(O38-((3/7)*D49))</f>
        <v>0.0031908699966920278</v>
      </c>
      <c r="Q38" s="34">
        <f>-(D16-((D46-((3/7)*D49))*(P38-D16)/((3/7)*D49)))</f>
        <v>-0.000736354614621237</v>
      </c>
      <c r="R38" s="34">
        <f>-(((P38-D16)*(((3/7)*D49)-D43)/((3/7)*D49))+D16)</f>
        <v>-0.0028666887198147534</v>
      </c>
      <c r="S38" s="39">
        <f>0.85*D1</f>
        <v>13.228124999999999</v>
      </c>
      <c r="T38" s="31">
        <f>MAX(Q38*D31,-D8)</f>
        <v>-151.6890506119748</v>
      </c>
      <c r="U38" s="39">
        <f>MAX(R38*D31,-D5)</f>
        <v>-326.0869565217392</v>
      </c>
      <c r="V38" s="45">
        <f>(S38*D52*(MIN(D49,0.8*O38))-((D38*T38)+(D36*U38)))</f>
        <v>1314433.8902957758</v>
      </c>
      <c r="W38" s="45">
        <f>((S38*D52*(MIN(D49,0.8*O38))*((0.5*(D46+D40))-(MIN(D49/2,0.4*O38)))+(((D38*T38)-(D36*U38))*0.5*(D46-D43))))</f>
        <v>22608917.515985772</v>
      </c>
      <c r="X38" s="18">
        <f t="shared" si="0"/>
        <v>1314.4338902957759</v>
      </c>
      <c r="Y38" s="19">
        <f t="shared" si="1"/>
        <v>22.608917515985773</v>
      </c>
    </row>
    <row r="39" spans="1:25" ht="13.5" thickBot="1">
      <c r="A39" s="187"/>
      <c r="B39" s="194"/>
      <c r="C39" s="194"/>
      <c r="D39" s="163"/>
      <c r="E39" s="99"/>
      <c r="F39" s="99"/>
      <c r="G39" s="99"/>
      <c r="H39" s="99"/>
      <c r="I39" s="99"/>
      <c r="J39" s="99"/>
      <c r="K39" s="99"/>
      <c r="M39" s="120"/>
      <c r="N39" s="49">
        <f>O39/D46</f>
        <v>1.4150943396226414</v>
      </c>
      <c r="O39" s="111">
        <f>D49/0.8</f>
        <v>375</v>
      </c>
      <c r="P39" s="40">
        <f>D16*O39/(O39-((3/7)*D49))</f>
        <v>0.003043478260869565</v>
      </c>
      <c r="Q39" s="40">
        <f>-(D16-((D46-((3/7)*D49))*(P39-D16)/((3/7)*D49)))</f>
        <v>-0.0008927536231884056</v>
      </c>
      <c r="R39" s="40">
        <f>-(((P39-D16)*(((3/7)*D49)-D43)/((3/7)*D49))+D16)</f>
        <v>-0.0027594202898550725</v>
      </c>
      <c r="S39" s="41">
        <f>0.85*D1</f>
        <v>13.228124999999999</v>
      </c>
      <c r="T39" s="41">
        <f>MAX(Q39*D31,-D8)</f>
        <v>-183.90724637681157</v>
      </c>
      <c r="U39" s="41">
        <f>MAX(R39*D31,-D5)</f>
        <v>-326.0869565217392</v>
      </c>
      <c r="V39" s="42">
        <f>(S39*D52*(MIN(D49,0.8*O39))-((D38*T39)+(D36*U39)))</f>
        <v>1426148.5717391302</v>
      </c>
      <c r="W39" s="42">
        <f>((S39*D52*(MIN(D49,0.8*O39))*((0.5*(D46+D40))-(MIN(D49/2,0.4*O39)))+(((D38*T39)-(D36*U39))*0.5*(D46-D43))))</f>
        <v>7554008.000000006</v>
      </c>
      <c r="X39" s="43">
        <f t="shared" si="0"/>
        <v>1426.1485717391301</v>
      </c>
      <c r="Y39" s="44">
        <f t="shared" si="1"/>
        <v>7.554008000000006</v>
      </c>
    </row>
    <row r="40" spans="1:25" ht="13.5" thickTop="1">
      <c r="A40" s="187"/>
      <c r="B40" s="153" t="s">
        <v>11</v>
      </c>
      <c r="C40" s="153" t="s">
        <v>32</v>
      </c>
      <c r="D40" s="192">
        <v>35</v>
      </c>
      <c r="E40" s="99"/>
      <c r="F40" s="99"/>
      <c r="G40" s="99"/>
      <c r="H40" s="99"/>
      <c r="I40" s="99"/>
      <c r="J40" s="99"/>
      <c r="K40" s="99"/>
      <c r="M40" s="120"/>
      <c r="N40" s="8">
        <v>1.5</v>
      </c>
      <c r="O40" s="71">
        <f>N40*D46</f>
        <v>397.5</v>
      </c>
      <c r="P40" s="34">
        <f>D16*O40/(O40-((3/7)*D49))</f>
        <v>0.002956175298804781</v>
      </c>
      <c r="Q40" s="34">
        <f>-(D16-((D46-((3/7)*D49))*(P40-D16)/((3/7)*D49)))</f>
        <v>-0.00098539176626826</v>
      </c>
      <c r="R40" s="34">
        <f>-(((P40-D16)*(((3/7)*D49)-D43)/((3/7)*D49))+D16)</f>
        <v>-0.002695883134130146</v>
      </c>
      <c r="S40" s="39">
        <f>0.85*D1</f>
        <v>13.228124999999999</v>
      </c>
      <c r="T40" s="31">
        <f>MAX(Q40*D31,-D8)</f>
        <v>-202.99070385126154</v>
      </c>
      <c r="U40" s="39">
        <f>MAX(R40*D31,-D5)</f>
        <v>-326.0869565217392</v>
      </c>
      <c r="V40" s="45">
        <f>(S40*D52*(MIN(D49,0.8*O40))-((D38*T40)+(D36*U40)))</f>
        <v>1434965.1290923262</v>
      </c>
      <c r="W40" s="45">
        <f>((S40*D52*(MIN(D49,0.8*O40))*((0.5*(D46+D40))-(MIN(D49/2,0.4*O40)))+(((D38*T40)-(D36*U40))*0.5*(D46-D43))))</f>
        <v>6540103.904382479</v>
      </c>
      <c r="X40" s="18">
        <f t="shared" si="0"/>
        <v>1434.9651290923262</v>
      </c>
      <c r="Y40" s="19">
        <f t="shared" si="1"/>
        <v>6.540103904382479</v>
      </c>
    </row>
    <row r="41" spans="1:25" ht="12.75">
      <c r="A41" s="187"/>
      <c r="B41" s="154"/>
      <c r="C41" s="139"/>
      <c r="D41" s="182"/>
      <c r="E41" s="99"/>
      <c r="F41" s="99"/>
      <c r="G41" s="99"/>
      <c r="H41" s="99"/>
      <c r="I41" s="99"/>
      <c r="J41" s="99"/>
      <c r="K41" s="99"/>
      <c r="M41" s="120"/>
      <c r="N41" s="9">
        <v>2.5</v>
      </c>
      <c r="O41" s="71">
        <f>N41*D46</f>
        <v>662.5</v>
      </c>
      <c r="P41" s="34">
        <f>D16*O41/(O41-((3/7)*D49))</f>
        <v>0.0024816053511705683</v>
      </c>
      <c r="Q41" s="34">
        <f>-(D16-((D46-((3/7)*D49))*(P41-D16)/((3/7)*D49)))</f>
        <v>-0.0014889632107023413</v>
      </c>
      <c r="R41" s="34">
        <f>-(((P41-D16)*(((3/7)*D49)-D43)/((3/7)*D49))+D16)</f>
        <v>-0.0023505016722408026</v>
      </c>
      <c r="S41" s="39">
        <f>0.85*D1</f>
        <v>13.228124999999999</v>
      </c>
      <c r="T41" s="31">
        <f>MAX(Q41*D31,-D8)</f>
        <v>-306.7264214046823</v>
      </c>
      <c r="U41" s="39">
        <f>MAX(R41*D31,-D5)</f>
        <v>-326.0869565217392</v>
      </c>
      <c r="V41" s="45">
        <f>(S41*D52*(MIN(D49,0.8*O41))-((D38*T41)+(D36*U41)))</f>
        <v>1482891.0306020065</v>
      </c>
      <c r="W41" s="45">
        <f>((S41*D52*(MIN(D49,0.8*O41))*((0.5*(D46+D40))-(MIN(D49/2,0.4*O41)))+(((D38*T41)-(D36*U41))*0.5*(D46-D43))))</f>
        <v>1028625.230769234</v>
      </c>
      <c r="X41" s="18">
        <f t="shared" si="0"/>
        <v>1482.8910306020064</v>
      </c>
      <c r="Y41" s="19">
        <f t="shared" si="1"/>
        <v>1.028625230769234</v>
      </c>
    </row>
    <row r="42" spans="1:25" ht="12.75">
      <c r="A42" s="187"/>
      <c r="B42" s="154"/>
      <c r="C42" s="156"/>
      <c r="D42" s="191"/>
      <c r="E42" s="99"/>
      <c r="F42" s="99"/>
      <c r="G42" s="25"/>
      <c r="H42" s="25"/>
      <c r="I42" s="25"/>
      <c r="J42" s="99"/>
      <c r="K42" s="99"/>
      <c r="M42" s="120"/>
      <c r="N42" s="51">
        <f>O42/D46</f>
        <v>2.9540414897912424</v>
      </c>
      <c r="O42" s="71">
        <f>(P42*(3/7)*D49)/(P42-D16)</f>
        <v>782.8209947946792</v>
      </c>
      <c r="P42" s="34">
        <f>((-Q42*(3/7)*D49)-(D16*D46))/((3/7)*D49-D46)</f>
        <v>0.0023930348148753864</v>
      </c>
      <c r="Q42" s="53">
        <f>-D28</f>
        <v>-0.001582946390882229</v>
      </c>
      <c r="R42" s="34">
        <f>-(((P42-D16)*(((3/7)*D49)-D43)/((3/7)*D49))+D16)</f>
        <v>-0.002286042004159309</v>
      </c>
      <c r="S42" s="39">
        <f>0.85*D1</f>
        <v>13.228124999999999</v>
      </c>
      <c r="T42" s="31">
        <f>MAX(Q42*D31,-D8)</f>
        <v>-326.0869565217392</v>
      </c>
      <c r="U42" s="39">
        <f>MAX(R42*D31,-D5)</f>
        <v>-326.0869565217392</v>
      </c>
      <c r="V42" s="45">
        <f>(S42*D52*(MIN(D49,0.8*O42))-((D38*T42)+(D36*U42)))</f>
        <v>1491835.597826087</v>
      </c>
      <c r="W42" s="45">
        <f>((S42*D52*(MIN(D49,0.8*O42))*((0.5*(D46+D40))-(MIN(D49/2,0.4*O42)))+(((D38*T42)-(D36*U42))*0.5*(D46-D43))))</f>
        <v>0</v>
      </c>
      <c r="X42" s="18">
        <f t="shared" si="0"/>
        <v>1491.835597826087</v>
      </c>
      <c r="Y42" s="19">
        <f t="shared" si="1"/>
        <v>0</v>
      </c>
    </row>
    <row r="43" spans="1:25" ht="12.75">
      <c r="A43" s="187"/>
      <c r="B43" s="154"/>
      <c r="C43" s="138" t="s">
        <v>4</v>
      </c>
      <c r="D43" s="162">
        <v>35</v>
      </c>
      <c r="E43" s="99"/>
      <c r="F43" s="99"/>
      <c r="G43" s="25"/>
      <c r="H43" s="25"/>
      <c r="I43" s="25"/>
      <c r="J43" s="99"/>
      <c r="K43" s="99"/>
      <c r="M43" s="120"/>
      <c r="N43" s="9">
        <v>3</v>
      </c>
      <c r="O43" s="71">
        <f>N43*D46</f>
        <v>795</v>
      </c>
      <c r="P43" s="34">
        <f>D16*O43/(O43-((3/7)*D49))</f>
        <v>0.0023858520900321544</v>
      </c>
      <c r="Q43" s="34">
        <f>-(D16-((D46-((3/7)*D49))*(P43-D16)/((3/7)*D49)))</f>
        <v>-0.0015905680600214363</v>
      </c>
      <c r="R43" s="34">
        <f>-(((P43-D16)*((3/7)*D49-D43))/((3/7)*D49)+D16)</f>
        <v>-0.0022808145766345126</v>
      </c>
      <c r="S43" s="39">
        <f>0.85*D1</f>
        <v>13.228124999999999</v>
      </c>
      <c r="T43" s="31">
        <f>MAX(Q43*D31,-D8)</f>
        <v>-326.0869565217392</v>
      </c>
      <c r="U43" s="39">
        <f>MAX(R43*D31,-D5)</f>
        <v>-326.0869565217392</v>
      </c>
      <c r="V43" s="45">
        <f>(S43*D52*(MIN(D49,0.8*O43))-((D38*T43)+(D36*U43)))</f>
        <v>1491835.597826087</v>
      </c>
      <c r="W43" s="45">
        <f>((S43*D52*(MIN(D49,0.8*O43))*((0.5*(D46+D40))-(MIN(D49/2,0.4*O43)))+(((D38*T43)-(D36*U43))*0.5*(D46-D43))))</f>
        <v>0</v>
      </c>
      <c r="X43" s="18">
        <f>V43/1000</f>
        <v>1491.835597826087</v>
      </c>
      <c r="Y43" s="19">
        <f>W43/POWER(1000,2)</f>
        <v>0</v>
      </c>
    </row>
    <row r="44" spans="1:25" ht="12.75">
      <c r="A44" s="187"/>
      <c r="B44" s="154"/>
      <c r="C44" s="154"/>
      <c r="D44" s="189"/>
      <c r="E44" s="25"/>
      <c r="F44" s="25"/>
      <c r="G44" s="99"/>
      <c r="H44" s="99"/>
      <c r="I44" s="99"/>
      <c r="J44" s="25"/>
      <c r="K44" s="25"/>
      <c r="M44" s="120"/>
      <c r="N44" s="9">
        <v>3.5</v>
      </c>
      <c r="O44" s="71">
        <f>N44*D46</f>
        <v>927.5</v>
      </c>
      <c r="P44" s="34">
        <f>D16*O44/(O44-((3/7)*D49))</f>
        <v>0.0023218596334376395</v>
      </c>
      <c r="Q44" s="34">
        <f>-(D16-((D46-((3/7)*D49))*(P44-D16)/((3/7)*D49)))</f>
        <v>-0.0016584711667411716</v>
      </c>
      <c r="R44" s="34">
        <f>-(((P44-D16)*(((3/7)*D49)-D43)/((3/7)*D49))+D16)</f>
        <v>-0.0022342422887796152</v>
      </c>
      <c r="S44" s="39">
        <f>0.85*D1</f>
        <v>13.228124999999999</v>
      </c>
      <c r="T44" s="31">
        <f>MAX(Q44*D31,-D8)</f>
        <v>-326.0869565217392</v>
      </c>
      <c r="U44" s="39">
        <f>MAX(R44*D31,-D5)</f>
        <v>-326.0869565217392</v>
      </c>
      <c r="V44" s="45">
        <f>(S44*D52*(MIN(D49,0.8*O44))-((D38*T44)+(D36*U44)))</f>
        <v>1491835.597826087</v>
      </c>
      <c r="W44" s="45">
        <f>((S44*D52*(MIN(D49,0.8*O44))*((0.5*(D46+D40))-(MIN(D49/2,0.4*O44)))+(((D38*T44)-(D36*U44))*0.5*(D46-D43))))</f>
        <v>0</v>
      </c>
      <c r="X44" s="18">
        <f t="shared" si="0"/>
        <v>1491.835597826087</v>
      </c>
      <c r="Y44" s="19">
        <f t="shared" si="1"/>
        <v>0</v>
      </c>
    </row>
    <row r="45" spans="1:25" ht="13.5" thickBot="1">
      <c r="A45" s="187"/>
      <c r="B45" s="154"/>
      <c r="C45" s="157"/>
      <c r="D45" s="190"/>
      <c r="E45" s="25"/>
      <c r="F45" s="25"/>
      <c r="G45" s="99"/>
      <c r="H45" s="99"/>
      <c r="I45" s="99"/>
      <c r="J45" s="25"/>
      <c r="K45" s="25"/>
      <c r="M45" s="73"/>
      <c r="N45" s="74">
        <f>O45/D49</f>
        <v>3333.33</v>
      </c>
      <c r="O45" s="75">
        <v>999999</v>
      </c>
      <c r="P45" s="117">
        <f>D16*O45/(O45-((3/7)*D49))</f>
        <v>0.002000257176179828</v>
      </c>
      <c r="Q45" s="115">
        <f>-P45</f>
        <v>-0.002000257176179828</v>
      </c>
      <c r="R45" s="116">
        <f>Q45</f>
        <v>-0.002000257176179828</v>
      </c>
      <c r="S45" s="77">
        <f>0.85*D1</f>
        <v>13.228124999999999</v>
      </c>
      <c r="T45" s="77">
        <f>MAX(Q45*D31,-D8)</f>
        <v>-326.0869565217392</v>
      </c>
      <c r="U45" s="77">
        <f>MAX(R45*D31,-D8)</f>
        <v>-326.0869565217392</v>
      </c>
      <c r="V45" s="78">
        <f>(S45*D52*(MIN(D49,0.8*O45))-((D38*T45)+(D36*U45)))</f>
        <v>1491835.597826087</v>
      </c>
      <c r="W45" s="78">
        <f>((S45*D52*(MIN(D49,0.8*O45))*((0.5*(D46+D40))-(MIN(D49/2,0.4*O45)))+(((D38*T45)-(D36*U45))*0.5*(D46-D43))))</f>
        <v>0</v>
      </c>
      <c r="X45" s="79">
        <f>V45/1000</f>
        <v>1491.835597826087</v>
      </c>
      <c r="Y45" s="80">
        <f>W45/POWER(1000,2)</f>
        <v>0</v>
      </c>
    </row>
    <row r="46" spans="1:25" ht="12.75">
      <c r="A46" s="187"/>
      <c r="B46" s="154"/>
      <c r="C46" s="158" t="s">
        <v>3</v>
      </c>
      <c r="D46" s="182">
        <f>D49-D40</f>
        <v>265</v>
      </c>
      <c r="E46" s="99"/>
      <c r="F46" s="99"/>
      <c r="G46" s="99"/>
      <c r="H46" s="99"/>
      <c r="I46" s="99"/>
      <c r="J46" s="99"/>
      <c r="K46" s="99"/>
      <c r="M46" s="22"/>
      <c r="Y46" s="9"/>
    </row>
    <row r="47" spans="1:25" ht="12.75">
      <c r="A47" s="187"/>
      <c r="B47" s="154"/>
      <c r="C47" s="158"/>
      <c r="D47" s="182"/>
      <c r="E47" s="99"/>
      <c r="F47" s="99"/>
      <c r="G47" s="99"/>
      <c r="H47" s="99"/>
      <c r="I47" s="99"/>
      <c r="J47" s="99"/>
      <c r="K47" s="99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9"/>
    </row>
    <row r="48" spans="1:25" ht="13.5" thickBot="1">
      <c r="A48" s="187"/>
      <c r="B48" s="154"/>
      <c r="C48" s="158"/>
      <c r="D48" s="182"/>
      <c r="E48" s="99"/>
      <c r="F48" s="99"/>
      <c r="G48" s="99"/>
      <c r="H48" s="99"/>
      <c r="I48" s="99"/>
      <c r="J48" s="99"/>
      <c r="K48" s="99"/>
      <c r="M48" s="119" t="s">
        <v>44</v>
      </c>
      <c r="N48" s="119"/>
      <c r="O48" s="119"/>
      <c r="P48" s="119"/>
      <c r="Q48" s="119"/>
      <c r="R48" s="119"/>
      <c r="S48" s="25"/>
      <c r="T48" s="25"/>
      <c r="U48" s="25"/>
      <c r="V48" s="25"/>
      <c r="W48" s="25"/>
      <c r="X48" s="64"/>
      <c r="Y48" s="9"/>
    </row>
    <row r="49" spans="1:25" ht="12.75">
      <c r="A49" s="187"/>
      <c r="B49" s="154"/>
      <c r="C49" s="159" t="s">
        <v>1</v>
      </c>
      <c r="D49" s="162">
        <v>300</v>
      </c>
      <c r="E49" s="99"/>
      <c r="F49" s="99"/>
      <c r="G49" s="99"/>
      <c r="H49" s="99"/>
      <c r="I49" s="99"/>
      <c r="J49" s="99"/>
      <c r="K49" s="99"/>
      <c r="M49" s="22"/>
      <c r="N49" s="69"/>
      <c r="O49" s="69"/>
      <c r="P49" s="25"/>
      <c r="Q49" s="25"/>
      <c r="R49" s="25"/>
      <c r="S49" s="135">
        <v>1</v>
      </c>
      <c r="T49" s="131" t="s">
        <v>42</v>
      </c>
      <c r="U49" s="132"/>
      <c r="V49" s="105">
        <f>(0.85*(0.83*D3)/(1.25*1.6))*D52*D49-(-D8*D38)-(-D5*D36)</f>
        <v>1253729.347826087</v>
      </c>
      <c r="W49" s="76">
        <v>0</v>
      </c>
      <c r="X49" s="90">
        <f>V49/1000</f>
        <v>1253.729347826087</v>
      </c>
      <c r="Y49" s="93">
        <f>W49/POWER(1000,2)</f>
        <v>0</v>
      </c>
    </row>
    <row r="50" spans="1:25" ht="15.75">
      <c r="A50" s="187"/>
      <c r="B50" s="154"/>
      <c r="C50" s="158"/>
      <c r="D50" s="182"/>
      <c r="E50" s="99"/>
      <c r="F50" s="99"/>
      <c r="G50" s="99"/>
      <c r="H50" s="99"/>
      <c r="I50" s="99"/>
      <c r="J50" s="99"/>
      <c r="K50" s="99"/>
      <c r="M50" s="2"/>
      <c r="N50" s="2"/>
      <c r="O50" s="2"/>
      <c r="P50" s="25"/>
      <c r="Q50" s="25"/>
      <c r="R50" s="25"/>
      <c r="S50" s="136"/>
      <c r="T50" s="133" t="s">
        <v>43</v>
      </c>
      <c r="U50" s="134"/>
      <c r="V50" s="106">
        <f>V49</f>
        <v>1253729.347826087</v>
      </c>
      <c r="W50" s="70">
        <v>65000000</v>
      </c>
      <c r="X50" s="91">
        <f>V50/1000</f>
        <v>1253.729347826087</v>
      </c>
      <c r="Y50" s="94">
        <f>W50/POWER(1000,2)</f>
        <v>65</v>
      </c>
    </row>
    <row r="51" spans="1:25" ht="12.75">
      <c r="A51" s="187"/>
      <c r="B51" s="154"/>
      <c r="C51" s="144"/>
      <c r="D51" s="191"/>
      <c r="E51" s="99"/>
      <c r="F51" s="99"/>
      <c r="G51" s="99"/>
      <c r="H51" s="99"/>
      <c r="I51" s="99"/>
      <c r="J51" s="99"/>
      <c r="K51" s="99"/>
      <c r="M51" s="2"/>
      <c r="N51" s="2"/>
      <c r="O51" s="2"/>
      <c r="P51" s="25"/>
      <c r="Q51" s="25"/>
      <c r="R51" s="25"/>
      <c r="S51" s="137">
        <v>2</v>
      </c>
      <c r="T51" s="127" t="s">
        <v>41</v>
      </c>
      <c r="U51" s="129">
        <f>MAX(D49/30,20)</f>
        <v>20</v>
      </c>
      <c r="V51" s="89">
        <v>0</v>
      </c>
      <c r="W51" s="89">
        <f>V51*U51</f>
        <v>0</v>
      </c>
      <c r="X51" s="92">
        <f>V51/1000</f>
        <v>0</v>
      </c>
      <c r="Y51" s="95">
        <f>W51/POWER(1000,2)</f>
        <v>0</v>
      </c>
    </row>
    <row r="52" spans="1:25" ht="12.75">
      <c r="A52" s="187"/>
      <c r="B52" s="154"/>
      <c r="C52" s="158" t="s">
        <v>0</v>
      </c>
      <c r="D52" s="182">
        <v>300</v>
      </c>
      <c r="E52" s="99"/>
      <c r="F52" s="99"/>
      <c r="G52" s="99"/>
      <c r="H52" s="99"/>
      <c r="I52" s="99"/>
      <c r="J52" s="99"/>
      <c r="K52" s="99"/>
      <c r="M52" s="25"/>
      <c r="N52" s="25"/>
      <c r="O52" s="25"/>
      <c r="P52" s="25"/>
      <c r="Q52" s="25"/>
      <c r="R52" s="25"/>
      <c r="S52" s="136"/>
      <c r="T52" s="128"/>
      <c r="U52" s="130"/>
      <c r="V52" s="70">
        <v>1500000</v>
      </c>
      <c r="W52" s="70">
        <f>V52*U51</f>
        <v>30000000</v>
      </c>
      <c r="X52" s="91">
        <f>V52/1000</f>
        <v>1500</v>
      </c>
      <c r="Y52" s="94">
        <f>W52/POWER(1000,2)</f>
        <v>30</v>
      </c>
    </row>
    <row r="53" spans="1:25" ht="15.75">
      <c r="A53" s="187"/>
      <c r="B53" s="154"/>
      <c r="C53" s="158"/>
      <c r="D53" s="182"/>
      <c r="E53" s="99"/>
      <c r="F53" s="99"/>
      <c r="J53" s="99"/>
      <c r="K53" s="99"/>
      <c r="M53" s="25"/>
      <c r="N53" s="25"/>
      <c r="O53" s="25"/>
      <c r="P53" s="25"/>
      <c r="Q53" s="25"/>
      <c r="R53" s="25"/>
      <c r="S53" s="88">
        <v>3</v>
      </c>
      <c r="T53" s="121" t="s">
        <v>45</v>
      </c>
      <c r="U53" s="122"/>
      <c r="V53" s="122"/>
      <c r="W53" s="122"/>
      <c r="X53" s="122"/>
      <c r="Y53" s="123"/>
    </row>
    <row r="54" spans="1:25" ht="13.5" thickBot="1">
      <c r="A54" s="188"/>
      <c r="B54" s="155"/>
      <c r="C54" s="195"/>
      <c r="D54" s="183"/>
      <c r="E54" s="99"/>
      <c r="F54" s="99"/>
      <c r="J54" s="99"/>
      <c r="K54" s="99"/>
      <c r="M54" s="25"/>
      <c r="N54" s="25"/>
      <c r="O54" s="25"/>
      <c r="P54" s="25"/>
      <c r="Q54" s="25"/>
      <c r="R54" s="25"/>
      <c r="S54" s="87">
        <v>4</v>
      </c>
      <c r="T54" s="124" t="s">
        <v>46</v>
      </c>
      <c r="U54" s="125"/>
      <c r="V54" s="125"/>
      <c r="W54" s="125"/>
      <c r="X54" s="125"/>
      <c r="Y54" s="126"/>
    </row>
  </sheetData>
  <mergeCells count="62">
    <mergeCell ref="T53:Y53"/>
    <mergeCell ref="T54:Y54"/>
    <mergeCell ref="T49:U49"/>
    <mergeCell ref="T50:U50"/>
    <mergeCell ref="S51:S52"/>
    <mergeCell ref="T51:T52"/>
    <mergeCell ref="U51:U52"/>
    <mergeCell ref="M48:R48"/>
    <mergeCell ref="S49:S50"/>
    <mergeCell ref="M37:M44"/>
    <mergeCell ref="C38:C39"/>
    <mergeCell ref="D38:D39"/>
    <mergeCell ref="D43:D45"/>
    <mergeCell ref="C46:C48"/>
    <mergeCell ref="D46:D48"/>
    <mergeCell ref="C49:C51"/>
    <mergeCell ref="D49:D51"/>
    <mergeCell ref="A36:A54"/>
    <mergeCell ref="B36:B39"/>
    <mergeCell ref="C36:C37"/>
    <mergeCell ref="D36:D37"/>
    <mergeCell ref="C52:C54"/>
    <mergeCell ref="D52:D54"/>
    <mergeCell ref="B40:B54"/>
    <mergeCell ref="C40:C42"/>
    <mergeCell ref="D40:D42"/>
    <mergeCell ref="C43:C45"/>
    <mergeCell ref="B31:B35"/>
    <mergeCell ref="C31:C35"/>
    <mergeCell ref="D31:D35"/>
    <mergeCell ref="M34:M35"/>
    <mergeCell ref="C25:C27"/>
    <mergeCell ref="D25:D27"/>
    <mergeCell ref="M27:M32"/>
    <mergeCell ref="C28:C30"/>
    <mergeCell ref="D28:D30"/>
    <mergeCell ref="M9:M12"/>
    <mergeCell ref="C11:C12"/>
    <mergeCell ref="D11:D12"/>
    <mergeCell ref="B13:B30"/>
    <mergeCell ref="C13:C15"/>
    <mergeCell ref="D13:D15"/>
    <mergeCell ref="M14:M16"/>
    <mergeCell ref="C16:C18"/>
    <mergeCell ref="D16:D18"/>
    <mergeCell ref="M18:M25"/>
    <mergeCell ref="G1:I1"/>
    <mergeCell ref="C3:C4"/>
    <mergeCell ref="D3:D4"/>
    <mergeCell ref="M3:M7"/>
    <mergeCell ref="C5:C7"/>
    <mergeCell ref="D5:D7"/>
    <mergeCell ref="A1:A35"/>
    <mergeCell ref="B1:B12"/>
    <mergeCell ref="C1:C2"/>
    <mergeCell ref="D1:D2"/>
    <mergeCell ref="C8:C10"/>
    <mergeCell ref="D8:D10"/>
    <mergeCell ref="C19:C21"/>
    <mergeCell ref="D19:D21"/>
    <mergeCell ref="C22:C24"/>
    <mergeCell ref="D22:D2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4"/>
  <sheetViews>
    <sheetView zoomScale="75" zoomScaleNormal="75" workbookViewId="0" topLeftCell="A1">
      <selection activeCell="E3" sqref="E3"/>
    </sheetView>
  </sheetViews>
  <sheetFormatPr defaultColWidth="9.140625" defaultRowHeight="12.75"/>
  <cols>
    <col min="1" max="1" width="5.28125" style="0" bestFit="1" customWidth="1"/>
    <col min="2" max="2" width="4.28125" style="0" customWidth="1"/>
    <col min="3" max="3" width="5.28125" style="0" bestFit="1" customWidth="1"/>
    <col min="4" max="4" width="4.28125" style="0" bestFit="1" customWidth="1"/>
    <col min="5" max="6" width="10.7109375" style="0" customWidth="1"/>
    <col min="7" max="9" width="12.7109375" style="0" customWidth="1"/>
    <col min="10" max="11" width="10.7109375" style="0" customWidth="1"/>
    <col min="12" max="12" width="1.7109375" style="0" customWidth="1"/>
    <col min="13" max="13" width="3.140625" style="0" bestFit="1" customWidth="1"/>
    <col min="14" max="14" width="8.140625" style="0" bestFit="1" customWidth="1"/>
    <col min="15" max="16" width="7.57421875" style="0" bestFit="1" customWidth="1"/>
    <col min="17" max="18" width="8.140625" style="0" bestFit="1" customWidth="1"/>
    <col min="19" max="19" width="5.57421875" style="0" bestFit="1" customWidth="1"/>
    <col min="20" max="21" width="7.140625" style="0" bestFit="1" customWidth="1"/>
    <col min="22" max="22" width="8.00390625" style="0" bestFit="1" customWidth="1"/>
    <col min="23" max="23" width="9.00390625" style="0" bestFit="1" customWidth="1"/>
    <col min="24" max="24" width="7.57421875" style="0" bestFit="1" customWidth="1"/>
    <col min="25" max="25" width="5.57421875" style="0" bestFit="1" customWidth="1"/>
  </cols>
  <sheetData>
    <row r="1" spans="1:25" ht="20.25" thickBot="1">
      <c r="A1" s="176" t="s">
        <v>7</v>
      </c>
      <c r="B1" s="141" t="s">
        <v>16</v>
      </c>
      <c r="C1" s="184" t="s">
        <v>19</v>
      </c>
      <c r="D1" s="148">
        <f>0.83*D3/1.6</f>
        <v>15.562499999999998</v>
      </c>
      <c r="E1" s="96"/>
      <c r="F1" s="96"/>
      <c r="G1" s="145" t="s">
        <v>15</v>
      </c>
      <c r="H1" s="146"/>
      <c r="I1" s="147"/>
      <c r="J1" s="2"/>
      <c r="K1" s="96"/>
      <c r="M1" s="26"/>
      <c r="N1" s="27" t="s">
        <v>10</v>
      </c>
      <c r="O1" s="28" t="s">
        <v>5</v>
      </c>
      <c r="P1" s="56" t="s">
        <v>33</v>
      </c>
      <c r="Q1" s="56" t="s">
        <v>40</v>
      </c>
      <c r="R1" s="56" t="s">
        <v>39</v>
      </c>
      <c r="S1" s="56" t="s">
        <v>36</v>
      </c>
      <c r="T1" s="56" t="s">
        <v>37</v>
      </c>
      <c r="U1" s="56" t="s">
        <v>38</v>
      </c>
      <c r="V1" s="55" t="s">
        <v>34</v>
      </c>
      <c r="W1" s="28" t="s">
        <v>35</v>
      </c>
      <c r="X1" s="29" t="s">
        <v>34</v>
      </c>
      <c r="Y1" s="30" t="s">
        <v>35</v>
      </c>
    </row>
    <row r="2" spans="1:25" ht="17.25" thickTop="1">
      <c r="A2" s="177"/>
      <c r="B2" s="139"/>
      <c r="C2" s="185"/>
      <c r="D2" s="149"/>
      <c r="E2" s="96"/>
      <c r="F2" s="96"/>
      <c r="G2" s="101"/>
      <c r="H2" s="6" t="s">
        <v>8</v>
      </c>
      <c r="I2" s="66" t="s">
        <v>9</v>
      </c>
      <c r="J2" s="2"/>
      <c r="K2" s="96"/>
      <c r="M2" s="82"/>
      <c r="N2" s="86">
        <f>O2/D46</f>
        <v>-3787.875</v>
      </c>
      <c r="O2" s="83">
        <v>-999999</v>
      </c>
      <c r="P2" s="58">
        <v>0</v>
      </c>
      <c r="Q2" s="58">
        <f>D25</f>
        <v>0.01</v>
      </c>
      <c r="R2" s="85">
        <v>0.01</v>
      </c>
      <c r="S2" s="58">
        <v>0</v>
      </c>
      <c r="T2" s="58">
        <f>D8</f>
        <v>326.0869565217392</v>
      </c>
      <c r="U2" s="58">
        <f>MIN(R2*D31,D5)</f>
        <v>326.0869565217392</v>
      </c>
      <c r="V2" s="37">
        <f>(S2*D52*0.8*O2)-((D38*T2)+(D36*U2))</f>
        <v>-393260.86956521746</v>
      </c>
      <c r="W2" s="13">
        <f>((S2*D52*0.8*O2)*((0.5*(D46+D40))-(0.4*O2)))+(((D38*T2)-(D36*U2))*0.5*(D46-D43))</f>
        <v>0</v>
      </c>
      <c r="X2" s="20">
        <f>V2/1000</f>
        <v>-393.2608695652175</v>
      </c>
      <c r="Y2" s="21">
        <f>W2/POWER(1000,2)</f>
        <v>0</v>
      </c>
    </row>
    <row r="3" spans="1:25" ht="15.75">
      <c r="A3" s="177"/>
      <c r="B3" s="139"/>
      <c r="C3" s="167" t="s">
        <v>20</v>
      </c>
      <c r="D3" s="160">
        <v>30</v>
      </c>
      <c r="E3" s="97"/>
      <c r="F3" s="97"/>
      <c r="G3" s="23" t="s">
        <v>61</v>
      </c>
      <c r="H3" s="31">
        <v>433.9</v>
      </c>
      <c r="I3" s="65">
        <v>40.41</v>
      </c>
      <c r="J3" s="2"/>
      <c r="K3" s="97"/>
      <c r="M3" s="120">
        <v>1</v>
      </c>
      <c r="N3" s="8">
        <v>-1</v>
      </c>
      <c r="O3" s="31">
        <f>N3*D46</f>
        <v>-264</v>
      </c>
      <c r="P3" s="31">
        <v>0</v>
      </c>
      <c r="Q3" s="31">
        <f>D25</f>
        <v>0.01</v>
      </c>
      <c r="R3" s="33">
        <f>Q3*(D43-O3)/(D46-O3)</f>
        <v>0.005681818181818182</v>
      </c>
      <c r="S3" s="32">
        <v>0</v>
      </c>
      <c r="T3" s="32">
        <f>D8</f>
        <v>326.0869565217392</v>
      </c>
      <c r="U3" s="32">
        <f>MIN(R3*D31,D5)</f>
        <v>326.0869565217392</v>
      </c>
      <c r="V3" s="36">
        <f>(S3*D52*0.8*O3)-((D38*T3)+(D36*U3))</f>
        <v>-393260.86956521746</v>
      </c>
      <c r="W3" s="7">
        <f>((S3*D52*0.8*O3)*((0.5*(D46+D40))-(0.4*O3)))+(((D38*T3)-(D36*U3))*0.5*(D46-D43))</f>
        <v>0</v>
      </c>
      <c r="X3" s="18">
        <f>V3/1000</f>
        <v>-393.2608695652175</v>
      </c>
      <c r="Y3" s="19">
        <f>W3/POWER(1000,2)</f>
        <v>0</v>
      </c>
    </row>
    <row r="4" spans="1:25" ht="16.5" thickBot="1">
      <c r="A4" s="177"/>
      <c r="B4" s="139"/>
      <c r="C4" s="168"/>
      <c r="D4" s="161"/>
      <c r="E4" s="97"/>
      <c r="F4" s="97"/>
      <c r="G4" s="24" t="s">
        <v>62</v>
      </c>
      <c r="H4" s="4">
        <v>444.93</v>
      </c>
      <c r="I4" s="118">
        <v>41.78</v>
      </c>
      <c r="J4" s="2"/>
      <c r="K4" s="97"/>
      <c r="M4" s="120"/>
      <c r="N4" s="9">
        <v>-0.5</v>
      </c>
      <c r="O4" s="31">
        <f>N4*D46</f>
        <v>-132</v>
      </c>
      <c r="P4" s="31">
        <v>0</v>
      </c>
      <c r="Q4" s="31">
        <f>D25</f>
        <v>0.01</v>
      </c>
      <c r="R4" s="33">
        <f>Q4*(D43-O4)/(D46-O4)</f>
        <v>0.004242424242424242</v>
      </c>
      <c r="S4" s="32">
        <v>0</v>
      </c>
      <c r="T4" s="32">
        <f>D8</f>
        <v>326.0869565217392</v>
      </c>
      <c r="U4" s="32">
        <f>MIN(R4*D31,D5)</f>
        <v>326.0869565217392</v>
      </c>
      <c r="V4" s="36">
        <f>(S4*D52*0.8*O4)-((D38*T4)+(D36*U4))</f>
        <v>-393260.86956521746</v>
      </c>
      <c r="W4" s="7">
        <f>((S4*D52*0.8*O4)*((0.5*(D46+D40))-(0.4*O4)))+(((D38*T4)-(D36*U4))*0.5*(D46-D43))</f>
        <v>0</v>
      </c>
      <c r="X4" s="18">
        <f aca="true" t="shared" si="0" ref="X4:X44">V4/1000</f>
        <v>-393.2608695652175</v>
      </c>
      <c r="Y4" s="19">
        <f aca="true" t="shared" si="1" ref="Y4:Y44">W4/POWER(1000,2)</f>
        <v>0</v>
      </c>
    </row>
    <row r="5" spans="1:25" ht="16.5" thickTop="1">
      <c r="A5" s="177"/>
      <c r="B5" s="139"/>
      <c r="C5" s="169" t="s">
        <v>21</v>
      </c>
      <c r="D5" s="186">
        <f>D11/1.15</f>
        <v>326.0869565217392</v>
      </c>
      <c r="E5" s="98"/>
      <c r="F5" s="98"/>
      <c r="G5" s="23" t="s">
        <v>63</v>
      </c>
      <c r="H5" s="31">
        <v>699.23</v>
      </c>
      <c r="I5" s="65">
        <v>39.88</v>
      </c>
      <c r="J5" s="2"/>
      <c r="K5" s="98"/>
      <c r="M5" s="120"/>
      <c r="N5" s="8">
        <v>-0.25</v>
      </c>
      <c r="O5" s="31">
        <f>N5*D46</f>
        <v>-66</v>
      </c>
      <c r="P5" s="31">
        <v>0</v>
      </c>
      <c r="Q5" s="31">
        <f>D25</f>
        <v>0.01</v>
      </c>
      <c r="R5" s="33">
        <f>Q5*(D43-O5)/(D46-O5)</f>
        <v>0.0030909090909090908</v>
      </c>
      <c r="S5" s="31">
        <v>0</v>
      </c>
      <c r="T5" s="31">
        <f>D8</f>
        <v>326.0869565217392</v>
      </c>
      <c r="U5" s="32">
        <f>MIN(R5*D31,D5)</f>
        <v>326.0869565217392</v>
      </c>
      <c r="V5" s="36">
        <f>(S5*D52*0.8*O5)-((D38*T5)+(D36*U5))</f>
        <v>-393260.86956521746</v>
      </c>
      <c r="W5" s="7">
        <f>((S5*D52*0.8*O5)*((0.5*(D46+D40))-(0.4*O5)))+(((D38*T5)-(D36*U5))*0.5*(D46-D43))</f>
        <v>0</v>
      </c>
      <c r="X5" s="18">
        <f t="shared" si="0"/>
        <v>-393.2608695652175</v>
      </c>
      <c r="Y5" s="19">
        <f t="shared" si="1"/>
        <v>0</v>
      </c>
    </row>
    <row r="6" spans="1:25" ht="15.75">
      <c r="A6" s="177"/>
      <c r="B6" s="139"/>
      <c r="C6" s="170"/>
      <c r="D6" s="151"/>
      <c r="E6" s="98"/>
      <c r="F6" s="98"/>
      <c r="G6" s="24" t="s">
        <v>64</v>
      </c>
      <c r="H6" s="4">
        <v>710.26</v>
      </c>
      <c r="I6" s="67">
        <v>36.61</v>
      </c>
      <c r="J6" s="2"/>
      <c r="K6" s="98"/>
      <c r="M6" s="120"/>
      <c r="N6" s="9">
        <v>-0.1</v>
      </c>
      <c r="O6" s="39">
        <f>N6*D46</f>
        <v>-26.400000000000002</v>
      </c>
      <c r="P6" s="39">
        <v>0</v>
      </c>
      <c r="Q6" s="39">
        <f>D25</f>
        <v>0.01</v>
      </c>
      <c r="R6" s="33">
        <f>Q6*(D43-O6)/(D46-O6)</f>
        <v>0.002148760330578513</v>
      </c>
      <c r="S6" s="39">
        <v>0</v>
      </c>
      <c r="T6" s="39">
        <f>D8</f>
        <v>326.0869565217392</v>
      </c>
      <c r="U6" s="32">
        <f>MIN(R6*D31,D5)</f>
        <v>326.0869565217392</v>
      </c>
      <c r="V6" s="36">
        <f>(S6*D52*0.8*O6)-((D38*T6)+(D36*U6))</f>
        <v>-393260.86956521746</v>
      </c>
      <c r="W6" s="7">
        <f>((S6*D52*0.8*O6)*((0.5*(D46+D40))-(0.4*O6)))+(((D38*T6)-(D36*U6))*0.5*(D46-D43))</f>
        <v>0</v>
      </c>
      <c r="X6" s="18">
        <f>V6/1000</f>
        <v>-393.2608695652175</v>
      </c>
      <c r="Y6" s="19">
        <f>W6/POWER(1000,2)</f>
        <v>0</v>
      </c>
    </row>
    <row r="7" spans="1:25" ht="12.75">
      <c r="A7" s="177"/>
      <c r="B7" s="139"/>
      <c r="C7" s="171"/>
      <c r="D7" s="152"/>
      <c r="E7" s="98"/>
      <c r="F7" s="98"/>
      <c r="G7" s="24"/>
      <c r="H7" s="4"/>
      <c r="I7" s="67"/>
      <c r="J7" s="2"/>
      <c r="K7" s="98"/>
      <c r="L7" s="1"/>
      <c r="M7" s="120"/>
      <c r="N7" s="51">
        <f>O7/D46</f>
        <v>-0.02605543904440598</v>
      </c>
      <c r="O7" s="39">
        <f>-((R7*D46)-(Q7*D43))/(Q7-R7)</f>
        <v>-6.8786359077231785</v>
      </c>
      <c r="P7" s="31">
        <v>0</v>
      </c>
      <c r="Q7" s="31">
        <f>D25</f>
        <v>0.01</v>
      </c>
      <c r="R7" s="59">
        <f>D22</f>
        <v>0.001582946390882229</v>
      </c>
      <c r="S7" s="31">
        <v>0</v>
      </c>
      <c r="T7" s="31">
        <f>D8</f>
        <v>326.0869565217392</v>
      </c>
      <c r="U7" s="32">
        <f>MIN(R7*D31,D5)</f>
        <v>326.0869565217392</v>
      </c>
      <c r="V7" s="36">
        <f>(S7*D52*0.8*O7)-((D38*T7)+(D36*U7))</f>
        <v>-393260.86956521746</v>
      </c>
      <c r="W7" s="36">
        <f>((S7*D52*0.8*O7)*((0.5*(D46+D40))-(0.4*O7)))+(((D38*T7)-(D36*U7))*0.5*(D46-D43))</f>
        <v>0</v>
      </c>
      <c r="X7" s="18">
        <f t="shared" si="0"/>
        <v>-393.2608695652175</v>
      </c>
      <c r="Y7" s="19">
        <f t="shared" si="1"/>
        <v>0</v>
      </c>
    </row>
    <row r="8" spans="1:25" ht="13.5" thickBot="1">
      <c r="A8" s="177"/>
      <c r="B8" s="139"/>
      <c r="C8" s="172" t="s">
        <v>22</v>
      </c>
      <c r="D8" s="150">
        <f>D11/1.15</f>
        <v>326.0869565217392</v>
      </c>
      <c r="E8" s="98"/>
      <c r="F8" s="98"/>
      <c r="G8" s="3"/>
      <c r="H8" s="5"/>
      <c r="I8" s="68"/>
      <c r="J8" s="2"/>
      <c r="K8" s="98"/>
      <c r="M8" s="11"/>
      <c r="N8" s="108">
        <v>0</v>
      </c>
      <c r="O8" s="15">
        <f>N8*D46</f>
        <v>0</v>
      </c>
      <c r="P8" s="62">
        <f>Q8*O8/(D46-O8)</f>
        <v>0</v>
      </c>
      <c r="Q8" s="15">
        <f>D25</f>
        <v>0.01</v>
      </c>
      <c r="R8" s="57">
        <f>Q8*(D43-O8)/(D46-O8)</f>
        <v>0.0013636363636363635</v>
      </c>
      <c r="S8" s="15">
        <f>1000*0.85*D1*(P8-(250*P8^2))</f>
        <v>0</v>
      </c>
      <c r="T8" s="15">
        <f>D8</f>
        <v>326.0869565217392</v>
      </c>
      <c r="U8" s="58">
        <f>MIN(R8*D31,D5)</f>
        <v>280.9090909090909</v>
      </c>
      <c r="V8" s="37">
        <f>(S8*D52*0.8*O8)-((D38*T8)+(D36*U8))</f>
        <v>-366018.6166007905</v>
      </c>
      <c r="W8" s="37">
        <f>((S8*D52*0.8*O8)*((0.5*(D46+D40))-(0.4*O8)))+(((D38*T8)-(D36*U8))*0.5*(D46-D43))</f>
        <v>3105616.837944671</v>
      </c>
      <c r="X8" s="20">
        <f t="shared" si="0"/>
        <v>-366.01861660079055</v>
      </c>
      <c r="Y8" s="21">
        <f t="shared" si="1"/>
        <v>3.105616837944671</v>
      </c>
    </row>
    <row r="9" spans="1:25" ht="12.75">
      <c r="A9" s="177"/>
      <c r="B9" s="139"/>
      <c r="C9" s="170"/>
      <c r="D9" s="151"/>
      <c r="E9" s="98"/>
      <c r="F9" s="98"/>
      <c r="G9" s="98"/>
      <c r="H9" s="98"/>
      <c r="I9" s="98"/>
      <c r="J9" s="98"/>
      <c r="K9" s="98"/>
      <c r="M9" s="120" t="s">
        <v>14</v>
      </c>
      <c r="N9" s="2">
        <v>0.05</v>
      </c>
      <c r="O9" s="31">
        <f>N9*D46</f>
        <v>13.200000000000001</v>
      </c>
      <c r="P9" s="34">
        <f>Q9*O9/(D46-O9)</f>
        <v>0.0005263157894736842</v>
      </c>
      <c r="Q9" s="31">
        <f>D25</f>
        <v>0.01</v>
      </c>
      <c r="R9" s="34">
        <f>Q9*(D43-O9)/(D46-O9)</f>
        <v>0.000909090909090909</v>
      </c>
      <c r="S9" s="31">
        <f>1000*0.85*D1*(P9-(250*P9^2))</f>
        <v>6.046095914127423</v>
      </c>
      <c r="T9" s="31">
        <f>D8</f>
        <v>326.0869565217392</v>
      </c>
      <c r="U9" s="31">
        <f>MIN(R9*D31,D5)</f>
        <v>187.27272727272725</v>
      </c>
      <c r="V9" s="36">
        <f>(S9*D52*0.8*O9)-((D38*T9)+(D36*U9))</f>
        <v>-290401.8574721076</v>
      </c>
      <c r="W9" s="36">
        <f>((S9*D52*0.8*O9)*((0.5*(D46+D40))-(0.4*O9)))+(((D38*T9)-(D36*U9))*0.5*(D46-D43))</f>
        <v>12314339.237229485</v>
      </c>
      <c r="X9" s="18">
        <f t="shared" si="0"/>
        <v>-290.40185747210757</v>
      </c>
      <c r="Y9" s="19">
        <f t="shared" si="1"/>
        <v>12.314339237229484</v>
      </c>
    </row>
    <row r="10" spans="1:25" ht="12.75">
      <c r="A10" s="177"/>
      <c r="B10" s="139"/>
      <c r="C10" s="171"/>
      <c r="D10" s="152"/>
      <c r="E10" s="98"/>
      <c r="F10" s="98"/>
      <c r="G10" s="98"/>
      <c r="H10" s="98"/>
      <c r="I10" s="98"/>
      <c r="J10" s="98"/>
      <c r="K10" s="98"/>
      <c r="M10" s="120"/>
      <c r="N10" s="9">
        <v>0.1</v>
      </c>
      <c r="O10" s="39">
        <f>N10*D46</f>
        <v>26.400000000000002</v>
      </c>
      <c r="P10" s="48">
        <f>Q10*O10/(D46-O10)</f>
        <v>0.0011111111111111111</v>
      </c>
      <c r="Q10" s="39">
        <f>D25</f>
        <v>0.01</v>
      </c>
      <c r="R10" s="48">
        <f>Q10*(D43-O10)/(D46-O10)</f>
        <v>0.00040404040404040393</v>
      </c>
      <c r="S10" s="39">
        <f>1000*0.85*D1*(P10-(250*P10^2))</f>
        <v>10.615162037037036</v>
      </c>
      <c r="T10" s="39">
        <f>D8</f>
        <v>326.0869565217392</v>
      </c>
      <c r="U10" s="39">
        <f>MIN(R10*D31,D5)</f>
        <v>83.23232323232321</v>
      </c>
      <c r="V10" s="45">
        <f>(S10*D52*0.8*O10)-((D38*T10)+(D36*U10))</f>
        <v>-179561.85902503296</v>
      </c>
      <c r="W10" s="45">
        <f>((S10*D52*0.8*O10)*((0.5*(D46+D40))-(0.4*O10)))+(((D38*T10)-(D36*U10))*0.5*(D46-D43))</f>
        <v>26072722.24158103</v>
      </c>
      <c r="X10" s="52">
        <f t="shared" si="0"/>
        <v>-179.56185902503296</v>
      </c>
      <c r="Y10" s="60">
        <f t="shared" si="1"/>
        <v>26.07272224158103</v>
      </c>
    </row>
    <row r="11" spans="1:25" ht="12.75">
      <c r="A11" s="177"/>
      <c r="B11" s="139"/>
      <c r="C11" s="167" t="s">
        <v>23</v>
      </c>
      <c r="D11" s="162">
        <v>375</v>
      </c>
      <c r="E11" s="99"/>
      <c r="F11" s="99"/>
      <c r="G11" s="99"/>
      <c r="H11" s="99"/>
      <c r="I11" s="99"/>
      <c r="J11" s="99"/>
      <c r="K11" s="99"/>
      <c r="M11" s="120"/>
      <c r="N11" s="107">
        <f>O11/D46</f>
        <v>0.13636363636363635</v>
      </c>
      <c r="O11" s="31">
        <f>D43</f>
        <v>36</v>
      </c>
      <c r="P11" s="34">
        <f>Q11*O11/(D46-O11)</f>
        <v>0.0015789473684210526</v>
      </c>
      <c r="Q11" s="31">
        <f>D25</f>
        <v>0.01</v>
      </c>
      <c r="R11" s="54">
        <f>Q11*(D43-O11)/(D46-O11)</f>
        <v>0</v>
      </c>
      <c r="S11" s="31">
        <f>1000*0.85*D1*(P11-(250*P11^2))</f>
        <v>12.64183691135734</v>
      </c>
      <c r="T11" s="31">
        <f>D8</f>
        <v>326.0869565217392</v>
      </c>
      <c r="U11" s="31">
        <f>MAX(R11*D31,-D5)</f>
        <v>0</v>
      </c>
      <c r="V11" s="36">
        <f>(S11*D52*0.8*O11)-((D38*T11)+(D36*U11))</f>
        <v>-87404.96386848131</v>
      </c>
      <c r="W11" s="36">
        <f>((S11*D52*0.8*O11)*((0.5*(D46+D40))-(0.4*O11)))+(((D38*T11)-(D36*U11))*0.5*(D46-D43))</f>
        <v>37226843.42117307</v>
      </c>
      <c r="X11" s="18">
        <f t="shared" si="0"/>
        <v>-87.40496386848132</v>
      </c>
      <c r="Y11" s="19">
        <f t="shared" si="1"/>
        <v>37.22684342117307</v>
      </c>
    </row>
    <row r="12" spans="1:25" ht="13.5" thickBot="1">
      <c r="A12" s="177"/>
      <c r="B12" s="142"/>
      <c r="C12" s="168"/>
      <c r="D12" s="163"/>
      <c r="E12" s="99"/>
      <c r="F12" s="99"/>
      <c r="G12" s="99"/>
      <c r="H12" s="99"/>
      <c r="I12" s="99"/>
      <c r="J12" s="99"/>
      <c r="K12" s="99"/>
      <c r="M12" s="120"/>
      <c r="N12" s="2">
        <v>0.15</v>
      </c>
      <c r="O12" s="31">
        <f>N12*D46</f>
        <v>39.6</v>
      </c>
      <c r="P12" s="34">
        <f>Q12*O12/(D46-O12)</f>
        <v>0.0017647058823529412</v>
      </c>
      <c r="Q12" s="31">
        <f>D25</f>
        <v>0.01</v>
      </c>
      <c r="R12" s="34">
        <f>Q12*(D43-O12)/(D46-O12)</f>
        <v>-0.0001604278074866311</v>
      </c>
      <c r="S12" s="31">
        <f>1000*0.85*D1*(P12-(250*P12^2))</f>
        <v>13.045036764705879</v>
      </c>
      <c r="T12" s="31">
        <f>D8</f>
        <v>326.0869565217392</v>
      </c>
      <c r="U12" s="31">
        <f>MAX(R12*D31,-D5)</f>
        <v>-33.048128342246</v>
      </c>
      <c r="V12" s="36">
        <f>(S12*D52*0.8*O12)-((D38*T12)+(D36*U12))</f>
        <v>-52722.38398046972</v>
      </c>
      <c r="W12" s="36">
        <f>((S12*D52*0.8*O12)*((0.5*(D46+D40))-(0.4*O12)))+(((D38*T12)-(D36*U12))*0.5*(D46-D43))</f>
        <v>41320824.74960242</v>
      </c>
      <c r="X12" s="18">
        <f t="shared" si="0"/>
        <v>-52.72238398046972</v>
      </c>
      <c r="Y12" s="19">
        <f t="shared" si="1"/>
        <v>41.32082474960242</v>
      </c>
    </row>
    <row r="13" spans="1:25" ht="13.5" thickTop="1">
      <c r="A13" s="177"/>
      <c r="B13" s="153" t="s">
        <v>12</v>
      </c>
      <c r="C13" s="180" t="s">
        <v>24</v>
      </c>
      <c r="D13" s="173">
        <v>0.0035</v>
      </c>
      <c r="E13" s="100"/>
      <c r="F13" s="100"/>
      <c r="G13" s="100"/>
      <c r="H13" s="100"/>
      <c r="I13" s="100"/>
      <c r="J13" s="100"/>
      <c r="K13" s="100"/>
      <c r="M13" s="11"/>
      <c r="N13" s="14">
        <f>1/6</f>
        <v>0.16666666666666666</v>
      </c>
      <c r="O13" s="15">
        <f>N13*D46</f>
        <v>44</v>
      </c>
      <c r="P13" s="63">
        <f>Q13*O13/(D46-O13)</f>
        <v>0.002</v>
      </c>
      <c r="Q13" s="15">
        <f>D25</f>
        <v>0.01</v>
      </c>
      <c r="R13" s="35">
        <f>Q13*(D43-O13)/(D46-O13)</f>
        <v>-0.00036363636363636367</v>
      </c>
      <c r="S13" s="15">
        <f>1000*0.85*D1*(P13-(250*P13^2))</f>
        <v>13.228124999999999</v>
      </c>
      <c r="T13" s="15">
        <f>D8</f>
        <v>326.0869565217392</v>
      </c>
      <c r="U13" s="15">
        <f>MAX(R13*D31,-D5)</f>
        <v>-74.90909090909092</v>
      </c>
      <c r="V13" s="37">
        <f>(S13*D52*0.8*O13)-((D38*T13)+(D36*U13))</f>
        <v>-11771.252964426909</v>
      </c>
      <c r="W13" s="37">
        <f>((S13*D52*0.8*O13)*((0.5*(D46+D40))-(0.4*O13)))+(((D38*T13)-(D36*U13))*0.5*(D46-D43))</f>
        <v>46060093.892490126</v>
      </c>
      <c r="X13" s="20">
        <f t="shared" si="0"/>
        <v>-11.771252964426909</v>
      </c>
      <c r="Y13" s="21">
        <f t="shared" si="1"/>
        <v>46.06009389249012</v>
      </c>
    </row>
    <row r="14" spans="1:25" ht="12.75">
      <c r="A14" s="177"/>
      <c r="B14" s="139"/>
      <c r="C14" s="165"/>
      <c r="D14" s="174"/>
      <c r="E14" s="100"/>
      <c r="F14" s="100"/>
      <c r="G14" s="100"/>
      <c r="H14" s="100"/>
      <c r="I14" s="100"/>
      <c r="J14" s="100"/>
      <c r="K14" s="100"/>
      <c r="M14" s="120" t="s">
        <v>13</v>
      </c>
      <c r="N14" s="9">
        <v>0.2</v>
      </c>
      <c r="O14" s="39">
        <f>N14*D46</f>
        <v>52.800000000000004</v>
      </c>
      <c r="P14" s="48">
        <f>Q14*O14/(D46-O14)</f>
        <v>0.0025</v>
      </c>
      <c r="Q14" s="39">
        <f>D25</f>
        <v>0.01</v>
      </c>
      <c r="R14" s="48">
        <f>Q14*(D43-O14)/(D46-O14)</f>
        <v>-0.0007954545454545457</v>
      </c>
      <c r="S14" s="39">
        <f>0.85*D1</f>
        <v>13.228124999999999</v>
      </c>
      <c r="T14" s="39">
        <f>D8</f>
        <v>326.0869565217392</v>
      </c>
      <c r="U14" s="39">
        <f>MAX(R14*D31,-D5)</f>
        <v>-163.8636363636364</v>
      </c>
      <c r="V14" s="45">
        <f>(S14*D52*0.8*O14)-((D38*T14)+(D36*U14))</f>
        <v>69806.13794466403</v>
      </c>
      <c r="W14" s="45">
        <f>((S14*D52*0.8*O14)*((0.5*(D46+D40))-(0.4*O14)))+(((D38*T14)-(D36*U14))*0.5*(D46-D43))</f>
        <v>55283925.64012648</v>
      </c>
      <c r="X14" s="52">
        <f>V14/1000</f>
        <v>69.80613794466403</v>
      </c>
      <c r="Y14" s="60">
        <f>W14/POWER(1000,2)</f>
        <v>55.28392564012648</v>
      </c>
    </row>
    <row r="15" spans="1:25" ht="12.75">
      <c r="A15" s="177"/>
      <c r="B15" s="139"/>
      <c r="C15" s="166"/>
      <c r="D15" s="175"/>
      <c r="E15" s="100"/>
      <c r="F15" s="100"/>
      <c r="G15" s="100"/>
      <c r="H15" s="100"/>
      <c r="I15" s="100"/>
      <c r="J15" s="100"/>
      <c r="K15" s="100"/>
      <c r="M15" s="120"/>
      <c r="N15" s="8">
        <v>0.25</v>
      </c>
      <c r="O15" s="39">
        <f>N15*D46</f>
        <v>66</v>
      </c>
      <c r="P15" s="34">
        <f>Q15*O15/(D46-O15)</f>
        <v>0.0033333333333333335</v>
      </c>
      <c r="Q15" s="31">
        <f>D25</f>
        <v>0.01</v>
      </c>
      <c r="R15" s="48">
        <f>Q15*(D43-O15)/(D46-O15)</f>
        <v>-0.0015151515151515152</v>
      </c>
      <c r="S15" s="31">
        <f>0.85*D1</f>
        <v>13.228124999999999</v>
      </c>
      <c r="T15" s="31">
        <f>D8</f>
        <v>326.0869565217392</v>
      </c>
      <c r="U15" s="31">
        <f>MAX(R15*D31,-D5)</f>
        <v>-312.1212121212121</v>
      </c>
      <c r="V15" s="36">
        <f>(S15*D52*0.8*O15)-((D38*T15)+(D36*U15))</f>
        <v>201112.15612648218</v>
      </c>
      <c r="W15" s="36">
        <f>((S15*D52*0.8*O15)*((0.5*(D46+D40))-(0.4*O15)))+(((D38*T15)-(D36*U15))*0.5*(D46-D43))</f>
        <v>69770046.52885376</v>
      </c>
      <c r="X15" s="18">
        <f t="shared" si="0"/>
        <v>201.11215612648218</v>
      </c>
      <c r="Y15" s="19">
        <f t="shared" si="1"/>
        <v>69.77004652885375</v>
      </c>
    </row>
    <row r="16" spans="1:25" ht="12.75">
      <c r="A16" s="177"/>
      <c r="B16" s="139"/>
      <c r="C16" s="164" t="s">
        <v>25</v>
      </c>
      <c r="D16" s="179">
        <v>0.002</v>
      </c>
      <c r="E16" s="100"/>
      <c r="F16" s="100"/>
      <c r="G16" s="100"/>
      <c r="H16" s="100"/>
      <c r="I16" s="100"/>
      <c r="J16" s="100"/>
      <c r="K16" s="100"/>
      <c r="M16" s="120"/>
      <c r="N16" s="107">
        <f>O16/D46</f>
        <v>0.2543897429101511</v>
      </c>
      <c r="O16" s="39">
        <f>((-R16*D46)+(Q16*D43))/(-R16+Q16)</f>
        <v>67.15889212827989</v>
      </c>
      <c r="P16" s="34">
        <f>Q16*O16/(D46-O16)</f>
        <v>0.003411832663126792</v>
      </c>
      <c r="Q16" s="31">
        <f>D25</f>
        <v>0.01</v>
      </c>
      <c r="R16" s="53">
        <f>-D22</f>
        <v>-0.001582946390882229</v>
      </c>
      <c r="S16" s="31">
        <f>0.85*D1</f>
        <v>13.228124999999999</v>
      </c>
      <c r="T16" s="31">
        <f>D8</f>
        <v>326.0869565217392</v>
      </c>
      <c r="U16" s="31">
        <f>MAX(R16*D31,-D5)</f>
        <v>-326.0869565217392</v>
      </c>
      <c r="V16" s="36">
        <f>(S16*D52*0.8*O16)-((D38*T16)+(D36*U16))</f>
        <v>213212.69278425656</v>
      </c>
      <c r="W16" s="36">
        <f>((S16*D52*0.8*O16)*((0.5*(D46+D40))-(0.4*O16)))+(((D38*T16)-(D36*U16))*0.5*(D46-D43))</f>
        <v>71085991.75404209</v>
      </c>
      <c r="X16" s="18">
        <f t="shared" si="0"/>
        <v>213.21269278425657</v>
      </c>
      <c r="Y16" s="19">
        <f t="shared" si="1"/>
        <v>71.08599175404208</v>
      </c>
    </row>
    <row r="17" spans="1:25" ht="12.75">
      <c r="A17" s="177"/>
      <c r="B17" s="139"/>
      <c r="C17" s="165"/>
      <c r="D17" s="174"/>
      <c r="E17" s="100"/>
      <c r="F17" s="100"/>
      <c r="G17" s="100"/>
      <c r="H17" s="100"/>
      <c r="I17" s="100"/>
      <c r="J17" s="100"/>
      <c r="K17" s="100"/>
      <c r="M17" s="11"/>
      <c r="N17" s="14">
        <f>1/(1+D25/D13)</f>
        <v>0.25925925925925924</v>
      </c>
      <c r="O17" s="15">
        <f>N17*D46</f>
        <v>68.44444444444444</v>
      </c>
      <c r="P17" s="63">
        <f>Q17*O17/(D46-O17)</f>
        <v>0.0035</v>
      </c>
      <c r="Q17" s="62">
        <f>D25</f>
        <v>0.01</v>
      </c>
      <c r="R17" s="35">
        <f>Q17*(D43-O17)/(D46-O17)</f>
        <v>-0.001659090909090909</v>
      </c>
      <c r="S17" s="15">
        <f>0.85*D1</f>
        <v>13.228124999999999</v>
      </c>
      <c r="T17" s="15">
        <f>D8</f>
        <v>326.0869565217392</v>
      </c>
      <c r="U17" s="15">
        <f>MAX(R17*D31,-D5)</f>
        <v>-326.0869565217392</v>
      </c>
      <c r="V17" s="37">
        <f>(S17*D52*0.8*O17)-((D38*T17)+(D36*U17))</f>
        <v>217294</v>
      </c>
      <c r="W17" s="37">
        <f>((S17*D52*0.8*O17)*((0.5*(D46+D40))-(0.4*O17)))+(((D38*T17)-(D36*U17))*0.5*(D46-D43))</f>
        <v>71476812.28599034</v>
      </c>
      <c r="X17" s="20">
        <f t="shared" si="0"/>
        <v>217.294</v>
      </c>
      <c r="Y17" s="21">
        <f t="shared" si="1"/>
        <v>71.47681228599035</v>
      </c>
    </row>
    <row r="18" spans="1:25" ht="13.5" thickBot="1">
      <c r="A18" s="177"/>
      <c r="B18" s="139"/>
      <c r="C18" s="181"/>
      <c r="D18" s="196"/>
      <c r="E18" s="100"/>
      <c r="F18" s="100"/>
      <c r="G18" s="100"/>
      <c r="H18" s="100"/>
      <c r="I18" s="100"/>
      <c r="J18" s="100"/>
      <c r="K18" s="100"/>
      <c r="M18" s="120">
        <v>3</v>
      </c>
      <c r="N18" s="8">
        <v>0.3</v>
      </c>
      <c r="O18" s="39">
        <f>N18*D46</f>
        <v>79.2</v>
      </c>
      <c r="P18" s="38">
        <f>D13</f>
        <v>0.0035</v>
      </c>
      <c r="Q18" s="34">
        <f>P18*(D46-O18)/O18</f>
        <v>0.008166666666666668</v>
      </c>
      <c r="R18" s="34">
        <f>P18*(D43-O18)/O18</f>
        <v>-0.0019090909090909091</v>
      </c>
      <c r="S18" s="31">
        <f>0.85*D1</f>
        <v>13.228124999999999</v>
      </c>
      <c r="T18" s="39">
        <f>D8</f>
        <v>326.0869565217392</v>
      </c>
      <c r="U18" s="39">
        <f>MAX(R18*D31,-D5)</f>
        <v>-326.0869565217392</v>
      </c>
      <c r="V18" s="45">
        <f>(S18*D52*0.8*O18)-((D38*T18)+(D36*U18))</f>
        <v>251440.2</v>
      </c>
      <c r="W18" s="45">
        <f>((S18*D52*0.8*O18)*((0.5*(D46+D40))-(0.4*O18)))+(((D38*T18)-(D36*U18))*0.5*(D46-D43))</f>
        <v>74582143.59443478</v>
      </c>
      <c r="X18" s="18">
        <f t="shared" si="0"/>
        <v>251.4402</v>
      </c>
      <c r="Y18" s="19">
        <f t="shared" si="1"/>
        <v>74.58214359443478</v>
      </c>
    </row>
    <row r="19" spans="1:25" ht="13.5" thickTop="1">
      <c r="A19" s="177"/>
      <c r="B19" s="139"/>
      <c r="C19" s="180" t="s">
        <v>26</v>
      </c>
      <c r="D19" s="173">
        <v>0.01</v>
      </c>
      <c r="E19" s="100"/>
      <c r="F19" s="100"/>
      <c r="G19" s="100"/>
      <c r="H19" s="100"/>
      <c r="I19" s="100"/>
      <c r="J19" s="100"/>
      <c r="K19" s="100"/>
      <c r="M19" s="120"/>
      <c r="N19" s="2">
        <v>0.35</v>
      </c>
      <c r="O19" s="39">
        <f>N19*D46</f>
        <v>92.39999999999999</v>
      </c>
      <c r="P19" s="38">
        <f>D13</f>
        <v>0.0035</v>
      </c>
      <c r="Q19" s="34">
        <f>P19*(D46-O19)/O19</f>
        <v>0.006500000000000002</v>
      </c>
      <c r="R19" s="34">
        <f>P19*(D43-O19)/O19</f>
        <v>-0.0021363636363636363</v>
      </c>
      <c r="S19" s="31">
        <f>0.85*D1</f>
        <v>13.228124999999999</v>
      </c>
      <c r="T19" s="39">
        <f>D8</f>
        <v>326.0869565217392</v>
      </c>
      <c r="U19" s="39">
        <f>MAX(R19*D31,-D5)</f>
        <v>-326.0869565217392</v>
      </c>
      <c r="V19" s="45">
        <f>(S19*D52*0.8*O19)-((D38*T19)+(D36*U19))</f>
        <v>293346.89999999997</v>
      </c>
      <c r="W19" s="45">
        <f>((S19*D52*0.8*O19)*((0.5*(D46+D40))-(0.4*O19)))+(((D38*T19)-(D36*U19))*0.5*(D46-D43))</f>
        <v>77991672.70643479</v>
      </c>
      <c r="X19" s="18">
        <f t="shared" si="0"/>
        <v>293.34689999999995</v>
      </c>
      <c r="Y19" s="19">
        <f t="shared" si="1"/>
        <v>77.99167270643478</v>
      </c>
    </row>
    <row r="20" spans="1:25" ht="12.75">
      <c r="A20" s="177"/>
      <c r="B20" s="139"/>
      <c r="C20" s="165"/>
      <c r="D20" s="174"/>
      <c r="E20" s="100"/>
      <c r="F20" s="100"/>
      <c r="G20" s="100"/>
      <c r="H20" s="100"/>
      <c r="I20" s="100"/>
      <c r="J20" s="100"/>
      <c r="K20" s="100"/>
      <c r="M20" s="120"/>
      <c r="N20" s="8">
        <v>0.4</v>
      </c>
      <c r="O20" s="39">
        <f>N20*D46</f>
        <v>105.60000000000001</v>
      </c>
      <c r="P20" s="38">
        <f>D13</f>
        <v>0.0035</v>
      </c>
      <c r="Q20" s="34">
        <f>P20*(D46-O20)/O20</f>
        <v>0.005249999999999999</v>
      </c>
      <c r="R20" s="34">
        <f>P20*(D43-O20)/O20</f>
        <v>-0.002306818181818182</v>
      </c>
      <c r="S20" s="31">
        <f>0.85*D1</f>
        <v>13.228124999999999</v>
      </c>
      <c r="T20" s="39">
        <f>D8</f>
        <v>326.0869565217392</v>
      </c>
      <c r="U20" s="39">
        <f>MAX(R20*D31,-D5)</f>
        <v>-326.0869565217392</v>
      </c>
      <c r="V20" s="45">
        <f>(S20*D52*0.8*O20)-((D38*T20)+(D36*U20))</f>
        <v>335253.60000000003</v>
      </c>
      <c r="W20" s="45">
        <f>((S20*D52*0.8*O20)*((0.5*(D46+D40))-(0.4*O20)))+(((D38*T20)-(D36*U20))*0.5*(D46-D43))</f>
        <v>80958667.0664348</v>
      </c>
      <c r="X20" s="18">
        <f t="shared" si="0"/>
        <v>335.25360000000006</v>
      </c>
      <c r="Y20" s="19">
        <f t="shared" si="1"/>
        <v>80.9586670664348</v>
      </c>
    </row>
    <row r="21" spans="1:25" ht="12.75">
      <c r="A21" s="177"/>
      <c r="B21" s="139"/>
      <c r="C21" s="166"/>
      <c r="D21" s="175"/>
      <c r="E21" s="100"/>
      <c r="F21" s="100"/>
      <c r="G21" s="100"/>
      <c r="H21" s="100"/>
      <c r="I21" s="100"/>
      <c r="J21" s="100"/>
      <c r="K21" s="100"/>
      <c r="M21" s="120"/>
      <c r="N21" s="2">
        <v>0.45</v>
      </c>
      <c r="O21" s="39">
        <f>N21*D46</f>
        <v>118.8</v>
      </c>
      <c r="P21" s="38">
        <f>D13</f>
        <v>0.0035</v>
      </c>
      <c r="Q21" s="34">
        <f>P21*(D46-O21)/O21</f>
        <v>0.004277777777777778</v>
      </c>
      <c r="R21" s="34">
        <f>P21*(D43-O21)/O21</f>
        <v>-0.0024393939393939396</v>
      </c>
      <c r="S21" s="31">
        <f>0.85*D1</f>
        <v>13.228124999999999</v>
      </c>
      <c r="T21" s="39">
        <f>D8</f>
        <v>326.0869565217392</v>
      </c>
      <c r="U21" s="39">
        <f>MAX(R21*D31,-D5)</f>
        <v>-326.0869565217392</v>
      </c>
      <c r="V21" s="45">
        <f>(S21*D52*0.8*O21)-((D38*T21)+(D36*U21))</f>
        <v>377160.3</v>
      </c>
      <c r="W21" s="45">
        <f>((S21*D52*0.8*O21)*((0.5*(D46+D40))-(0.4*O21)))+(((D38*T21)-(D36*U21))*0.5*(D46-D43))</f>
        <v>83483126.67443478</v>
      </c>
      <c r="X21" s="18">
        <f t="shared" si="0"/>
        <v>377.1603</v>
      </c>
      <c r="Y21" s="19">
        <f t="shared" si="1"/>
        <v>83.48312667443479</v>
      </c>
    </row>
    <row r="22" spans="1:25" ht="12.75">
      <c r="A22" s="177"/>
      <c r="B22" s="139"/>
      <c r="C22" s="164" t="s">
        <v>27</v>
      </c>
      <c r="D22" s="179">
        <f>D5/D31</f>
        <v>0.001582946390882229</v>
      </c>
      <c r="E22" s="100"/>
      <c r="F22" s="100"/>
      <c r="G22" s="100"/>
      <c r="H22" s="100"/>
      <c r="I22" s="100"/>
      <c r="J22" s="100"/>
      <c r="K22" s="100"/>
      <c r="M22" s="120"/>
      <c r="N22" s="8">
        <v>0.5</v>
      </c>
      <c r="O22" s="39">
        <f>N22*D46</f>
        <v>132</v>
      </c>
      <c r="P22" s="38">
        <f>D13</f>
        <v>0.0035</v>
      </c>
      <c r="Q22" s="34">
        <f>P22*(D46-O22)/O22</f>
        <v>0.0035</v>
      </c>
      <c r="R22" s="34">
        <f>P22*(D43-O22)/O22</f>
        <v>-0.0025454545454545456</v>
      </c>
      <c r="S22" s="31">
        <f>0.85*D1</f>
        <v>13.228124999999999</v>
      </c>
      <c r="T22" s="39">
        <f>D8</f>
        <v>326.0869565217392</v>
      </c>
      <c r="U22" s="39">
        <f>MAX(R22*D31,-D5)</f>
        <v>-326.0869565217392</v>
      </c>
      <c r="V22" s="45">
        <f>(S22*D52*0.8*O22)-((D38*T22)+(D36*U22))</f>
        <v>419067</v>
      </c>
      <c r="W22" s="45">
        <f>((S22*D52*0.8*O22)*((0.5*(D46+D40))-(0.4*O22)))+(((D38*T22)-(D36*U22))*0.5*(D46-D43))</f>
        <v>85565051.53043479</v>
      </c>
      <c r="X22" s="18">
        <f t="shared" si="0"/>
        <v>419.067</v>
      </c>
      <c r="Y22" s="19">
        <f t="shared" si="1"/>
        <v>85.56505153043479</v>
      </c>
    </row>
    <row r="23" spans="1:25" ht="12.75">
      <c r="A23" s="177"/>
      <c r="B23" s="139"/>
      <c r="C23" s="165"/>
      <c r="D23" s="174"/>
      <c r="E23" s="100"/>
      <c r="F23" s="100"/>
      <c r="G23" s="100"/>
      <c r="H23" s="100"/>
      <c r="I23" s="100"/>
      <c r="J23" s="100"/>
      <c r="K23" s="100"/>
      <c r="M23" s="120"/>
      <c r="N23" s="2">
        <v>0.55</v>
      </c>
      <c r="O23" s="39">
        <f>N23*D46</f>
        <v>145.20000000000002</v>
      </c>
      <c r="P23" s="38">
        <f>D13</f>
        <v>0.0035</v>
      </c>
      <c r="Q23" s="34">
        <f>P23*(D46-O23)/O23</f>
        <v>0.002863636363636363</v>
      </c>
      <c r="R23" s="34">
        <f>P23*(D43-O23)/O23</f>
        <v>-0.002632231404958678</v>
      </c>
      <c r="S23" s="31">
        <f>0.85*D1</f>
        <v>13.228124999999999</v>
      </c>
      <c r="T23" s="39">
        <f>D8</f>
        <v>326.0869565217392</v>
      </c>
      <c r="U23" s="39">
        <f>MAX(R23*D31,-D5)</f>
        <v>-326.0869565217392</v>
      </c>
      <c r="V23" s="45">
        <f>(S23*D52*0.8*O23)-((D38*T23)+(D36*U23))</f>
        <v>460973.70000000007</v>
      </c>
      <c r="W23" s="45">
        <f>((S23*D52*0.8*O23)*((0.5*(D46+D40))-(0.4*O23)))+(((D38*T23)-(D36*U23))*0.5*(D46-D43))</f>
        <v>87204441.63443479</v>
      </c>
      <c r="X23" s="18">
        <f t="shared" si="0"/>
        <v>460.97370000000006</v>
      </c>
      <c r="Y23" s="19">
        <f t="shared" si="1"/>
        <v>87.20444163443479</v>
      </c>
    </row>
    <row r="24" spans="1:25" ht="12.75">
      <c r="A24" s="177"/>
      <c r="B24" s="139"/>
      <c r="C24" s="166"/>
      <c r="D24" s="175"/>
      <c r="E24" s="100"/>
      <c r="F24" s="100"/>
      <c r="G24" s="100"/>
      <c r="H24" s="100"/>
      <c r="I24" s="100"/>
      <c r="J24" s="100"/>
      <c r="K24" s="100"/>
      <c r="M24" s="120"/>
      <c r="N24" s="8">
        <v>0.6</v>
      </c>
      <c r="O24" s="39">
        <f>N24*D46</f>
        <v>158.4</v>
      </c>
      <c r="P24" s="38">
        <f>D13</f>
        <v>0.0035</v>
      </c>
      <c r="Q24" s="34">
        <f>P24*(D46-O24)/O24</f>
        <v>0.002333333333333333</v>
      </c>
      <c r="R24" s="34">
        <f>P24*(D43-O24)/O24</f>
        <v>-0.0027045454545454543</v>
      </c>
      <c r="S24" s="31">
        <f>0.85*D1</f>
        <v>13.228124999999999</v>
      </c>
      <c r="T24" s="39">
        <f>D8</f>
        <v>326.0869565217392</v>
      </c>
      <c r="U24" s="39">
        <f>MAX(R24*D31,-D5)</f>
        <v>-326.0869565217392</v>
      </c>
      <c r="V24" s="45">
        <f>(S24*D52*0.8*O24)-((D38*T24)+(D36*U24))</f>
        <v>502880.4</v>
      </c>
      <c r="W24" s="45">
        <f>((S24*D52*0.8*O24)*((0.5*(D46+D40))-(0.4*O24)))+(((D38*T24)-(D36*U24))*0.5*(D46-D43))</f>
        <v>88401296.98643479</v>
      </c>
      <c r="X24" s="18">
        <f t="shared" si="0"/>
        <v>502.8804</v>
      </c>
      <c r="Y24" s="19">
        <f t="shared" si="1"/>
        <v>88.40129698643479</v>
      </c>
    </row>
    <row r="25" spans="1:25" ht="12.75">
      <c r="A25" s="177"/>
      <c r="B25" s="139"/>
      <c r="C25" s="164" t="s">
        <v>28</v>
      </c>
      <c r="D25" s="179">
        <v>0.01</v>
      </c>
      <c r="E25" s="100"/>
      <c r="F25" s="100"/>
      <c r="G25" s="100"/>
      <c r="H25" s="100"/>
      <c r="I25" s="100"/>
      <c r="J25" s="100"/>
      <c r="K25" s="100"/>
      <c r="M25" s="120"/>
      <c r="N25" s="2">
        <v>0.65</v>
      </c>
      <c r="O25" s="39">
        <f>N25*D46</f>
        <v>171.6</v>
      </c>
      <c r="P25" s="38">
        <f>D13</f>
        <v>0.0035</v>
      </c>
      <c r="Q25" s="34">
        <f>P25*(D46-O25)/O25</f>
        <v>0.0018846153846153848</v>
      </c>
      <c r="R25" s="34">
        <f>P25*(D43-O25)/O25</f>
        <v>-0.0027657342657342655</v>
      </c>
      <c r="S25" s="31">
        <f>0.85*D1</f>
        <v>13.228124999999999</v>
      </c>
      <c r="T25" s="39">
        <f>D8</f>
        <v>326.0869565217392</v>
      </c>
      <c r="U25" s="39">
        <f>MAX(R25*D31,-D5)</f>
        <v>-326.0869565217392</v>
      </c>
      <c r="V25" s="45">
        <f>(S25*D52*0.8*O25)-((D38*T25)+(D36*U25))</f>
        <v>544787.1</v>
      </c>
      <c r="W25" s="45">
        <f>((S25*D52*0.8*O25)*((0.5*(D46+D40))-(0.4*O25)))+(((D38*T25)-(D36*U25))*0.5*(D46-D43))</f>
        <v>89155617.58643478</v>
      </c>
      <c r="X25" s="18">
        <f t="shared" si="0"/>
        <v>544.7871</v>
      </c>
      <c r="Y25" s="19">
        <f t="shared" si="1"/>
        <v>89.15561758643479</v>
      </c>
    </row>
    <row r="26" spans="1:25" ht="12.75">
      <c r="A26" s="177"/>
      <c r="B26" s="139"/>
      <c r="C26" s="165"/>
      <c r="D26" s="174"/>
      <c r="E26" s="100"/>
      <c r="F26" s="100"/>
      <c r="G26" s="100"/>
      <c r="H26" s="100"/>
      <c r="I26" s="100"/>
      <c r="J26" s="100"/>
      <c r="K26" s="100"/>
      <c r="M26" s="11"/>
      <c r="N26" s="14">
        <f>1/(1+D28/D13)</f>
        <v>0.6885770045260142</v>
      </c>
      <c r="O26" s="15">
        <f>N26*D46</f>
        <v>181.78432919486775</v>
      </c>
      <c r="P26" s="46">
        <f>D13</f>
        <v>0.0035</v>
      </c>
      <c r="Q26" s="61">
        <f>P26*(D46-O26)/O26</f>
        <v>0.001582946390882229</v>
      </c>
      <c r="R26" s="35">
        <f>P26*(D43-O26)/O26</f>
        <v>-0.002806870946697878</v>
      </c>
      <c r="S26" s="15">
        <f>0.85*D1</f>
        <v>13.228124999999999</v>
      </c>
      <c r="T26" s="15">
        <f>Q26*D31</f>
        <v>326.0869565217392</v>
      </c>
      <c r="U26" s="15">
        <f>MAX(R26*D31,-D5)</f>
        <v>-326.0869565217392</v>
      </c>
      <c r="V26" s="37">
        <f>(S26*D52*0.8*O26)-((D38*T26)+(D36*U26))</f>
        <v>577119.7991114064</v>
      </c>
      <c r="W26" s="37">
        <f>((S26*D52*0.8*O26)*((0.5*(D46+D40))-(0.4*O26)))+(((D38*T26)-(D36*U26))*0.5*(D46-D43))</f>
        <v>89435174.77852821</v>
      </c>
      <c r="X26" s="20">
        <f t="shared" si="0"/>
        <v>577.1197991114065</v>
      </c>
      <c r="Y26" s="21">
        <f t="shared" si="1"/>
        <v>89.43517477852821</v>
      </c>
    </row>
    <row r="27" spans="1:25" ht="12.75">
      <c r="A27" s="177"/>
      <c r="B27" s="139"/>
      <c r="C27" s="166"/>
      <c r="D27" s="175"/>
      <c r="E27" s="100"/>
      <c r="F27" s="100"/>
      <c r="G27" s="100"/>
      <c r="H27" s="100"/>
      <c r="I27" s="100"/>
      <c r="J27" s="100"/>
      <c r="K27" s="100"/>
      <c r="M27" s="120">
        <v>4</v>
      </c>
      <c r="N27" s="8">
        <v>0.7</v>
      </c>
      <c r="O27" s="39">
        <f>N27*D46</f>
        <v>184.79999999999998</v>
      </c>
      <c r="P27" s="38">
        <f>D13</f>
        <v>0.0035</v>
      </c>
      <c r="Q27" s="34">
        <f>P27*(D46-O27)/O27</f>
        <v>0.0015000000000000005</v>
      </c>
      <c r="R27" s="34">
        <f>P27*(D43-O27)/O27</f>
        <v>-0.002818181818181818</v>
      </c>
      <c r="S27" s="31">
        <f>0.85*D1</f>
        <v>13.228124999999999</v>
      </c>
      <c r="T27" s="31">
        <f>Q27*D31</f>
        <v>309.0000000000001</v>
      </c>
      <c r="U27" s="39">
        <f>MAX(R27*D31,-D5)</f>
        <v>-326.0869565217392</v>
      </c>
      <c r="V27" s="45">
        <f>(S27*D52*0.8*O27)-((D38*T27)+(D36*U27))</f>
        <v>596997.2347826086</v>
      </c>
      <c r="W27" s="45">
        <f>((S27*D52*0.8*O27)*((0.5*(D46+D40))-(0.4*O27)))+(((D38*T27)-(D36*U27))*0.5*(D46-D43))</f>
        <v>88292811.8692174</v>
      </c>
      <c r="X27" s="18">
        <f t="shared" si="0"/>
        <v>596.9972347826085</v>
      </c>
      <c r="Y27" s="19">
        <f t="shared" si="1"/>
        <v>88.2928118692174</v>
      </c>
    </row>
    <row r="28" spans="1:25" ht="12.75">
      <c r="A28" s="177"/>
      <c r="B28" s="139"/>
      <c r="C28" s="164" t="s">
        <v>29</v>
      </c>
      <c r="D28" s="179">
        <f>D8/D31</f>
        <v>0.001582946390882229</v>
      </c>
      <c r="E28" s="100"/>
      <c r="F28" s="100"/>
      <c r="G28" s="100"/>
      <c r="H28" s="100"/>
      <c r="I28" s="100"/>
      <c r="J28" s="100"/>
      <c r="K28" s="100"/>
      <c r="M28" s="120"/>
      <c r="N28" s="2">
        <v>0.75</v>
      </c>
      <c r="O28" s="39">
        <f>N28*D46</f>
        <v>198</v>
      </c>
      <c r="P28" s="38">
        <f>D13</f>
        <v>0.0035</v>
      </c>
      <c r="Q28" s="34">
        <f>P28*(D46-O28)/O28</f>
        <v>0.0011666666666666668</v>
      </c>
      <c r="R28" s="34">
        <f>P28*(D43-O28)/O28</f>
        <v>-0.0028636363636363638</v>
      </c>
      <c r="S28" s="31">
        <f>0.85*D1</f>
        <v>13.228124999999999</v>
      </c>
      <c r="T28" s="31">
        <f>Q28*D31</f>
        <v>240.33333333333334</v>
      </c>
      <c r="U28" s="39">
        <f>MAX(R28*D31,-D5)</f>
        <v>-326.0869565217392</v>
      </c>
      <c r="V28" s="45">
        <f>(S28*D52*0.8*O28)-((D38*T28)+(D36*U28))</f>
        <v>680309.9347826088</v>
      </c>
      <c r="W28" s="45">
        <f>((S28*D52*0.8*O28)*((0.5*(D46+D40))-(0.4*O28)))+(((D38*T28)-(D36*U28))*0.5*(D46-D43))</f>
        <v>83441778.9652174</v>
      </c>
      <c r="X28" s="18">
        <f t="shared" si="0"/>
        <v>680.3099347826087</v>
      </c>
      <c r="Y28" s="19">
        <f t="shared" si="1"/>
        <v>83.4417789652174</v>
      </c>
    </row>
    <row r="29" spans="1:25" ht="12.75">
      <c r="A29" s="177"/>
      <c r="B29" s="139"/>
      <c r="C29" s="165"/>
      <c r="D29" s="174"/>
      <c r="E29" s="100"/>
      <c r="F29" s="100"/>
      <c r="G29" s="100"/>
      <c r="H29" s="100"/>
      <c r="I29" s="100"/>
      <c r="J29" s="100"/>
      <c r="K29" s="100"/>
      <c r="M29" s="120"/>
      <c r="N29" s="8">
        <v>0.8</v>
      </c>
      <c r="O29" s="39">
        <f>N29*D46</f>
        <v>211.20000000000002</v>
      </c>
      <c r="P29" s="38">
        <f>D13</f>
        <v>0.0035</v>
      </c>
      <c r="Q29" s="34">
        <f>P29*(D46-O29)/O29</f>
        <v>0.0008749999999999996</v>
      </c>
      <c r="R29" s="34">
        <f>P29*(D43-O29)/O29</f>
        <v>-0.002903409090909091</v>
      </c>
      <c r="S29" s="31">
        <f>0.85*D1</f>
        <v>13.228124999999999</v>
      </c>
      <c r="T29" s="31">
        <f>Q29*D31</f>
        <v>180.24999999999991</v>
      </c>
      <c r="U29" s="39">
        <f>MAX(R29*D31,-D5)</f>
        <v>-326.0869565217392</v>
      </c>
      <c r="V29" s="45">
        <f>(S29*D52*0.8*O29)-((D38*T29)+(D36*U29))</f>
        <v>758446.8847826088</v>
      </c>
      <c r="W29" s="45">
        <f>((S29*D52*0.8*O29)*((0.5*(D46+D40))-(0.4*O29)))+(((D38*T29)-(D36*U29))*0.5*(D46-D43))</f>
        <v>78738246.80921738</v>
      </c>
      <c r="X29" s="18">
        <f t="shared" si="0"/>
        <v>758.4468847826088</v>
      </c>
      <c r="Y29" s="19">
        <f t="shared" si="1"/>
        <v>78.73824680921737</v>
      </c>
    </row>
    <row r="30" spans="1:25" ht="12.75">
      <c r="A30" s="177"/>
      <c r="B30" s="156"/>
      <c r="C30" s="166"/>
      <c r="D30" s="175"/>
      <c r="E30" s="100"/>
      <c r="F30" s="100"/>
      <c r="G30" s="100"/>
      <c r="H30" s="100"/>
      <c r="I30" s="100"/>
      <c r="J30" s="100"/>
      <c r="K30" s="100"/>
      <c r="M30" s="120"/>
      <c r="N30" s="2">
        <v>0.85</v>
      </c>
      <c r="O30" s="39">
        <f>N30*D46</f>
        <v>224.4</v>
      </c>
      <c r="P30" s="38">
        <f>D13</f>
        <v>0.0035</v>
      </c>
      <c r="Q30" s="34">
        <f>P30*(D46-O30)/O30</f>
        <v>0.0006176470588235293</v>
      </c>
      <c r="R30" s="34">
        <f>P30*(D43-O30)/O30</f>
        <v>-0.0029385026737967913</v>
      </c>
      <c r="S30" s="31">
        <f>0.85*D1</f>
        <v>13.228124999999999</v>
      </c>
      <c r="T30" s="31">
        <f>Q30*D31</f>
        <v>127.23529411764703</v>
      </c>
      <c r="U30" s="39">
        <f>MAX(R30*D31,-D5)</f>
        <v>-326.0869565217392</v>
      </c>
      <c r="V30" s="45">
        <f>(S30*D52*0.8*O30)-((D38*T30)+(D36*U30))</f>
        <v>832321.4524296676</v>
      </c>
      <c r="W30" s="45">
        <f>((S30*D52*0.8*O30)*((0.5*(D46+D40))-(0.4*O30)))+(((D38*T30)-(D36*U30))*0.5*(D46-D43))</f>
        <v>74078091.48945269</v>
      </c>
      <c r="X30" s="18">
        <f t="shared" si="0"/>
        <v>832.3214524296676</v>
      </c>
      <c r="Y30" s="19">
        <f t="shared" si="1"/>
        <v>74.07809148945269</v>
      </c>
    </row>
    <row r="31" spans="1:25" ht="12.75">
      <c r="A31" s="177"/>
      <c r="B31" s="138" t="s">
        <v>17</v>
      </c>
      <c r="C31" s="197" t="s">
        <v>30</v>
      </c>
      <c r="D31" s="162">
        <v>206000</v>
      </c>
      <c r="E31" s="99"/>
      <c r="F31" s="99"/>
      <c r="G31" s="99"/>
      <c r="H31" s="99"/>
      <c r="I31" s="99"/>
      <c r="J31" s="99"/>
      <c r="K31" s="99"/>
      <c r="M31" s="120"/>
      <c r="N31" s="8">
        <v>0.9</v>
      </c>
      <c r="O31" s="39">
        <f>N31*D46</f>
        <v>237.6</v>
      </c>
      <c r="P31" s="38">
        <f>D13</f>
        <v>0.0035</v>
      </c>
      <c r="Q31" s="34">
        <f>P31*(D46-O31)/O31</f>
        <v>0.000388888888888889</v>
      </c>
      <c r="R31" s="34">
        <f>P31*(D43-O31)/O31</f>
        <v>-0.00296969696969697</v>
      </c>
      <c r="S31" s="31">
        <f>0.85*D1</f>
        <v>13.228124999999999</v>
      </c>
      <c r="T31" s="31">
        <f>Q31*D31</f>
        <v>80.11111111111113</v>
      </c>
      <c r="U31" s="39">
        <f>MAX(R31*D31,-D5)</f>
        <v>-326.0869565217392</v>
      </c>
      <c r="V31" s="45">
        <f>(S31*D52*0.8*O31)-((D38*T31)+(D36*U31))</f>
        <v>902644.0347826087</v>
      </c>
      <c r="W31" s="45">
        <f>((S31*D52*0.8*O31)*((0.5*(D46+D40))-(0.4*O31)))+(((D38*T31)-(D36*U31))*0.5*(D46-D43))</f>
        <v>69380327.74121739</v>
      </c>
      <c r="X31" s="18">
        <f t="shared" si="0"/>
        <v>902.6440347826087</v>
      </c>
      <c r="Y31" s="19">
        <f t="shared" si="1"/>
        <v>69.38032774121739</v>
      </c>
    </row>
    <row r="32" spans="1:25" ht="12.75">
      <c r="A32" s="177"/>
      <c r="B32" s="139"/>
      <c r="C32" s="198"/>
      <c r="D32" s="182"/>
      <c r="E32" s="99"/>
      <c r="F32" s="99"/>
      <c r="G32" s="99"/>
      <c r="H32" s="99"/>
      <c r="I32" s="99"/>
      <c r="J32" s="99"/>
      <c r="K32" s="99"/>
      <c r="M32" s="120"/>
      <c r="N32" s="2">
        <v>0.95</v>
      </c>
      <c r="O32" s="39">
        <f>N32*D46</f>
        <v>250.79999999999998</v>
      </c>
      <c r="P32" s="38">
        <f>D13</f>
        <v>0.0035</v>
      </c>
      <c r="Q32" s="34">
        <f>P32*(D46-O32)/O32</f>
        <v>0.00018421052631578972</v>
      </c>
      <c r="R32" s="34">
        <f>P32*(D43-O32)/O32</f>
        <v>-0.002997607655502392</v>
      </c>
      <c r="S32" s="31">
        <f>0.85*D1</f>
        <v>13.228124999999999</v>
      </c>
      <c r="T32" s="31">
        <f>Q32*D31</f>
        <v>37.94736842105268</v>
      </c>
      <c r="U32" s="39">
        <f>MAX(R32*D31,-D5)</f>
        <v>-326.0869565217392</v>
      </c>
      <c r="V32" s="45">
        <f>(S32*D52*0.8*O32)-((D38*T32)+(D36*U32))</f>
        <v>969975.4716247139</v>
      </c>
      <c r="W32" s="45">
        <f>((S32*D52*0.8*O32)*((0.5*(D46+D40))-(0.4*O32)))+(((D38*T32)-(D36*U32))*0.5*(D46-D43))</f>
        <v>64581019.829217404</v>
      </c>
      <c r="X32" s="18">
        <f t="shared" si="0"/>
        <v>969.9754716247138</v>
      </c>
      <c r="Y32" s="19">
        <f t="shared" si="1"/>
        <v>64.58101982921741</v>
      </c>
    </row>
    <row r="33" spans="1:25" ht="12.75">
      <c r="A33" s="177"/>
      <c r="B33" s="139"/>
      <c r="C33" s="198"/>
      <c r="D33" s="182"/>
      <c r="E33" s="99"/>
      <c r="F33" s="99"/>
      <c r="G33" s="99"/>
      <c r="H33" s="99"/>
      <c r="I33" s="99"/>
      <c r="J33" s="99"/>
      <c r="K33" s="99"/>
      <c r="M33" s="11"/>
      <c r="N33" s="108">
        <f>O33/D46</f>
        <v>1</v>
      </c>
      <c r="O33" s="15">
        <f>D46</f>
        <v>264</v>
      </c>
      <c r="P33" s="46">
        <f>D13</f>
        <v>0.0035</v>
      </c>
      <c r="Q33" s="62">
        <f>P33*(D46-O33)/O33</f>
        <v>0</v>
      </c>
      <c r="R33" s="35">
        <f>P33*(D43-O33)/O33</f>
        <v>-0.003022727272727273</v>
      </c>
      <c r="S33" s="15">
        <f>0.85*D1</f>
        <v>13.228124999999999</v>
      </c>
      <c r="T33" s="15">
        <f>Q33*D31</f>
        <v>0</v>
      </c>
      <c r="U33" s="15">
        <f>MAX(R33*D31,-D5)</f>
        <v>-326.0869565217392</v>
      </c>
      <c r="V33" s="37">
        <f>(S33*D52*(MIN(D49,0.8*O33))-((D38*T33)+(D36*U33)))</f>
        <v>1034764.4347826088</v>
      </c>
      <c r="W33" s="37">
        <f>((S33*D52*(MIN(D49,0.8*O33))*((0.5*(D46+D40))-(MIN(D49/2,0.4*O33)))+(((D38*T33)-(D36*U33))*0.5*(D46-D43))))</f>
        <v>59629019.165217385</v>
      </c>
      <c r="X33" s="20">
        <f t="shared" si="0"/>
        <v>1034.7644347826088</v>
      </c>
      <c r="Y33" s="21">
        <f t="shared" si="1"/>
        <v>59.629019165217386</v>
      </c>
    </row>
    <row r="34" spans="1:25" ht="12.75">
      <c r="A34" s="177"/>
      <c r="B34" s="139"/>
      <c r="C34" s="198"/>
      <c r="D34" s="182"/>
      <c r="E34" s="99"/>
      <c r="F34" s="99"/>
      <c r="G34" s="99"/>
      <c r="H34" s="99"/>
      <c r="I34" s="99"/>
      <c r="J34" s="99"/>
      <c r="K34" s="99"/>
      <c r="M34" s="120">
        <v>5</v>
      </c>
      <c r="N34" s="2">
        <v>1.05</v>
      </c>
      <c r="O34" s="31">
        <f>N34*D46</f>
        <v>277.2</v>
      </c>
      <c r="P34" s="47">
        <f>D13</f>
        <v>0.0035</v>
      </c>
      <c r="Q34" s="48">
        <f>P34*(D46-O34)/O34</f>
        <v>-0.00016666666666666655</v>
      </c>
      <c r="R34" s="48">
        <f>P34*(D43-O34)/O34</f>
        <v>-0.003045454545454545</v>
      </c>
      <c r="S34" s="39">
        <f>0.85*D1</f>
        <v>13.228124999999999</v>
      </c>
      <c r="T34" s="39">
        <f>Q34*D31</f>
        <v>-34.33333333333331</v>
      </c>
      <c r="U34" s="39">
        <f>MAX(R34*D31,-D5)</f>
        <v>-326.0869565217392</v>
      </c>
      <c r="V34" s="45">
        <f>(S34*D52*(MIN(D49,0.8*O34))-((D38*T34)+(D36*U34)))</f>
        <v>1097374.1347826086</v>
      </c>
      <c r="W34" s="45">
        <f>((S34*D52*(MIN(D49,0.8*O34))*((0.5*(D46+D40))-(MIN(D49/2,0.4*O34)))+(((D38*T34)-(D36*U34))*0.5*(D46-D43))))</f>
        <v>54482919.7492174</v>
      </c>
      <c r="X34" s="18">
        <f t="shared" si="0"/>
        <v>1097.3741347826085</v>
      </c>
      <c r="Y34" s="19">
        <f t="shared" si="1"/>
        <v>54.4829197492174</v>
      </c>
    </row>
    <row r="35" spans="1:25" ht="13.5" thickBot="1">
      <c r="A35" s="178"/>
      <c r="B35" s="140"/>
      <c r="C35" s="199"/>
      <c r="D35" s="183"/>
      <c r="E35" s="99"/>
      <c r="F35" s="99"/>
      <c r="G35" s="99"/>
      <c r="H35" s="99"/>
      <c r="I35" s="99"/>
      <c r="J35" s="99"/>
      <c r="K35" s="99"/>
      <c r="M35" s="120"/>
      <c r="N35" s="9">
        <v>1.1</v>
      </c>
      <c r="O35" s="39">
        <f>N35*D46</f>
        <v>290.40000000000003</v>
      </c>
      <c r="P35" s="47">
        <f>D13</f>
        <v>0.0035</v>
      </c>
      <c r="Q35" s="48">
        <f>P35*(D46-O35)/O35</f>
        <v>-0.0003181818181818186</v>
      </c>
      <c r="R35" s="48">
        <f>P35*(D43-O35)/O35</f>
        <v>-0.0030661157024793394</v>
      </c>
      <c r="S35" s="39">
        <f>0.85*D1</f>
        <v>13.228124999999999</v>
      </c>
      <c r="T35" s="39">
        <f>Q35*D31</f>
        <v>-65.54545454545463</v>
      </c>
      <c r="U35" s="39">
        <f>MAX(R35*D31,-D5)</f>
        <v>-326.0869565217392</v>
      </c>
      <c r="V35" s="45">
        <f>(S35*D52*(MIN(D49,0.8*O35))-((D38*T35)+(D36*U35)))</f>
        <v>1158101.743873518</v>
      </c>
      <c r="W35" s="45">
        <f>((S35*D52*(MIN(D49,0.8*O35))*((0.5*(D46+D40))-(MIN(D49/2,0.4*O35)))+(((D38*T35)-(D36*U35))*0.5*(D46-D43))))</f>
        <v>49108843.94485374</v>
      </c>
      <c r="X35" s="52">
        <f t="shared" si="0"/>
        <v>1158.101743873518</v>
      </c>
      <c r="Y35" s="60">
        <f t="shared" si="1"/>
        <v>49.10884394485374</v>
      </c>
    </row>
    <row r="36" spans="1:25" ht="12.75">
      <c r="A36" s="176" t="s">
        <v>6</v>
      </c>
      <c r="B36" s="143" t="s">
        <v>31</v>
      </c>
      <c r="C36" s="143" t="s">
        <v>18</v>
      </c>
      <c r="D36" s="193">
        <v>603</v>
      </c>
      <c r="E36" s="99"/>
      <c r="F36" s="99"/>
      <c r="G36" s="99"/>
      <c r="H36" s="99"/>
      <c r="I36" s="99"/>
      <c r="J36" s="99"/>
      <c r="K36" s="99"/>
      <c r="M36" s="109"/>
      <c r="N36" s="14">
        <f>O36/D46</f>
        <v>1.1363636363636365</v>
      </c>
      <c r="O36" s="110">
        <f>D49</f>
        <v>300</v>
      </c>
      <c r="P36" s="81">
        <f>D16*O36/(O36-((3/7)*D49))</f>
        <v>0.0034999999999999996</v>
      </c>
      <c r="Q36" s="35">
        <f>-(D16-((D46-((3/7)*D49))*(P36-D16)/((3/7)*D49)))</f>
        <v>-0.00042</v>
      </c>
      <c r="R36" s="35">
        <f>-(((P36-D16)*(((3/7)*D49)-D43)/((3/7)*D49))+D16)</f>
        <v>-0.0030799999999999994</v>
      </c>
      <c r="S36" s="15">
        <f>0.85*D1</f>
        <v>13.228124999999999</v>
      </c>
      <c r="T36" s="15">
        <f>MAX(Q36*D31,-D8)</f>
        <v>-86.52000000000001</v>
      </c>
      <c r="U36" s="15">
        <f>MAX(R36*D31,-D5)</f>
        <v>-326.0869565217392</v>
      </c>
      <c r="V36" s="37">
        <f>(S36*D52*(MIN(D49,0.8*O36))-((D38*T36)+(D36*U36)))</f>
        <v>1201226.9947826087</v>
      </c>
      <c r="W36" s="37">
        <f>((S36*D52*(MIN(D49,0.8*O36))*((0.5*(D46+D40))-(MIN(D49/2,0.4*O36)))+(((D38*T36)-(D36*U36))*0.5*(D46-D43))))</f>
        <v>45041061.725217395</v>
      </c>
      <c r="X36" s="20">
        <f t="shared" si="0"/>
        <v>1201.2269947826087</v>
      </c>
      <c r="Y36" s="21">
        <f t="shared" si="1"/>
        <v>45.041061725217396</v>
      </c>
    </row>
    <row r="37" spans="1:25" ht="12.75">
      <c r="A37" s="187"/>
      <c r="B37" s="158"/>
      <c r="C37" s="144"/>
      <c r="D37" s="191"/>
      <c r="E37" s="99"/>
      <c r="F37" s="99"/>
      <c r="G37" s="99"/>
      <c r="H37" s="99"/>
      <c r="I37" s="99"/>
      <c r="J37" s="99"/>
      <c r="K37" s="99"/>
      <c r="M37" s="120">
        <v>6</v>
      </c>
      <c r="N37" s="8">
        <v>1.2</v>
      </c>
      <c r="O37" s="71">
        <f>N37*D46</f>
        <v>316.8</v>
      </c>
      <c r="P37" s="34">
        <f>D16*O37/(O37-((3/7)*D49))</f>
        <v>0.003366120218579235</v>
      </c>
      <c r="Q37" s="34">
        <f>-(D16-((D46-((3/7)*D49))*(P37-D16)/((3/7)*D49)))</f>
        <v>-0.0005610200364298725</v>
      </c>
      <c r="R37" s="34">
        <f>-(((P37-D16)*(((3/7)*D49)-D43)/((3/7)*D49))+D16)</f>
        <v>-0.002983606557377049</v>
      </c>
      <c r="S37" s="39">
        <f>0.85*D1</f>
        <v>13.228124999999999</v>
      </c>
      <c r="T37" s="31">
        <f>MAX(Q37*D31,-D8)</f>
        <v>-115.57012750455374</v>
      </c>
      <c r="U37" s="39">
        <f>MAX(R37*D31,-D5)</f>
        <v>-326.0869565217392</v>
      </c>
      <c r="V37" s="45">
        <f>(S37*D52*(MIN(D49,0.8*O37))-((D38*T37)+(D36*U37)))</f>
        <v>1272080.0216678546</v>
      </c>
      <c r="W37" s="45">
        <f>((S37*D52*(MIN(D49,0.8*O37))*((0.5*(D46+D40))-(MIN(D49/2,0.4*O37)))+(((D38*T37)-(D36*U37))*0.5*(D46-D43))))</f>
        <v>37885459.28429935</v>
      </c>
      <c r="X37" s="18">
        <f t="shared" si="0"/>
        <v>1272.0800216678547</v>
      </c>
      <c r="Y37" s="19">
        <f t="shared" si="1"/>
        <v>37.88545928429935</v>
      </c>
    </row>
    <row r="38" spans="1:25" ht="12.75">
      <c r="A38" s="187"/>
      <c r="B38" s="158"/>
      <c r="C38" s="158" t="s">
        <v>2</v>
      </c>
      <c r="D38" s="182">
        <v>603</v>
      </c>
      <c r="E38" s="99"/>
      <c r="F38" s="99"/>
      <c r="G38" s="99"/>
      <c r="H38" s="99"/>
      <c r="I38" s="99"/>
      <c r="J38" s="99"/>
      <c r="K38" s="99"/>
      <c r="M38" s="120"/>
      <c r="N38" s="8">
        <v>1.3</v>
      </c>
      <c r="O38" s="71">
        <f>N38*D46</f>
        <v>343.2</v>
      </c>
      <c r="P38" s="34">
        <f>D16*O38/(O38-((3/7)*D49))</f>
        <v>0.0031980830670926517</v>
      </c>
      <c r="Q38" s="34">
        <f>-(D16-((D46-((3/7)*D49))*(P38-D16)/((3/7)*D49)))</f>
        <v>-0.0007380191693290732</v>
      </c>
      <c r="R38" s="34">
        <f>-(((P38-D16)*(((3/7)*D49)-D43)/((3/7)*D49))+D16)</f>
        <v>-0.002862619808306709</v>
      </c>
      <c r="S38" s="39">
        <f>0.85*D1</f>
        <v>13.228124999999999</v>
      </c>
      <c r="T38" s="31">
        <f>MAX(Q38*D31,-D8)</f>
        <v>-152.03194888178908</v>
      </c>
      <c r="U38" s="39">
        <f>MAX(R38*D31,-D5)</f>
        <v>-326.0869565217392</v>
      </c>
      <c r="V38" s="45">
        <f>(S38*D52*(MIN(D49,0.8*O38))-((D38*T38)+(D36*U38)))</f>
        <v>1377879.8999583274</v>
      </c>
      <c r="W38" s="45">
        <f>((S38*D52*(MIN(D49,0.8*O38))*((0.5*(D46+D40))-(MIN(D49/2,0.4*O38)))+(((D38*T38)-(D36*U38))*0.5*(D46-D43))))</f>
        <v>25824273.15918545</v>
      </c>
      <c r="X38" s="18">
        <f t="shared" si="0"/>
        <v>1377.8798999583273</v>
      </c>
      <c r="Y38" s="19">
        <f t="shared" si="1"/>
        <v>25.824273159185452</v>
      </c>
    </row>
    <row r="39" spans="1:25" ht="13.5" thickBot="1">
      <c r="A39" s="187"/>
      <c r="B39" s="194"/>
      <c r="C39" s="194"/>
      <c r="D39" s="163"/>
      <c r="E39" s="99"/>
      <c r="F39" s="99"/>
      <c r="G39" s="99"/>
      <c r="H39" s="99"/>
      <c r="I39" s="99"/>
      <c r="J39" s="99"/>
      <c r="K39" s="99"/>
      <c r="M39" s="120"/>
      <c r="N39" s="49">
        <f>O39/D46</f>
        <v>1.4204545454545454</v>
      </c>
      <c r="O39" s="111">
        <f>D49/0.8</f>
        <v>375</v>
      </c>
      <c r="P39" s="40">
        <f>D16*O39/(O39-((3/7)*D49))</f>
        <v>0.003043478260869565</v>
      </c>
      <c r="Q39" s="40">
        <f>-(D16-((D46-((3/7)*D49))*(P39-D16)/((3/7)*D49)))</f>
        <v>-0.0009008695652173912</v>
      </c>
      <c r="R39" s="40">
        <f>-(((P39-D16)*(((3/7)*D49)-D43)/((3/7)*D49))+D16)</f>
        <v>-0.002751304347826087</v>
      </c>
      <c r="S39" s="41">
        <f>0.85*D1</f>
        <v>13.228124999999999</v>
      </c>
      <c r="T39" s="41">
        <f>MAX(Q39*D31,-D8)</f>
        <v>-185.5791304347826</v>
      </c>
      <c r="U39" s="41">
        <f>MAX(R39*D31,-D5)</f>
        <v>-326.0869565217392</v>
      </c>
      <c r="V39" s="42">
        <f>(S39*D52*(MIN(D49,0.8*O39))-((D38*T39)+(D36*U39)))</f>
        <v>1499065.9004347823</v>
      </c>
      <c r="W39" s="42">
        <f>((S39*D52*(MIN(D49,0.8*O39))*((0.5*(D46+D40))-(MIN(D49/2,0.4*O39)))+(((D38*T39)-(D36*U39))*0.5*(D46-D43))))</f>
        <v>9658788.98086957</v>
      </c>
      <c r="X39" s="43">
        <f t="shared" si="0"/>
        <v>1499.0659004347822</v>
      </c>
      <c r="Y39" s="44">
        <f t="shared" si="1"/>
        <v>9.65878898086957</v>
      </c>
    </row>
    <row r="40" spans="1:25" ht="13.5" thickTop="1">
      <c r="A40" s="187"/>
      <c r="B40" s="153" t="s">
        <v>11</v>
      </c>
      <c r="C40" s="153" t="s">
        <v>32</v>
      </c>
      <c r="D40" s="192">
        <v>36</v>
      </c>
      <c r="E40" s="99"/>
      <c r="F40" s="99"/>
      <c r="G40" s="99"/>
      <c r="H40" s="99"/>
      <c r="I40" s="99"/>
      <c r="J40" s="99"/>
      <c r="K40" s="99"/>
      <c r="M40" s="120"/>
      <c r="N40" s="8">
        <v>1.5</v>
      </c>
      <c r="O40" s="71">
        <f>N40*D46</f>
        <v>396</v>
      </c>
      <c r="P40" s="34">
        <f>D16*O40/(O40-((3/7)*D49))</f>
        <v>0.0029615384615384616</v>
      </c>
      <c r="Q40" s="34">
        <f>-(D16-((D46-((3/7)*D49))*(P40-D16)/((3/7)*D49)))</f>
        <v>-0.000987179487179487</v>
      </c>
      <c r="R40" s="34">
        <f>-(((P40-D16)*(((3/7)*D49)-D43)/((3/7)*D49))+D16)</f>
        <v>-0.002692307692307692</v>
      </c>
      <c r="S40" s="39">
        <f>0.85*D1</f>
        <v>13.228124999999999</v>
      </c>
      <c r="T40" s="31">
        <f>MAX(Q40*D31,-D8)</f>
        <v>-203.3589743589743</v>
      </c>
      <c r="U40" s="39">
        <f>MAX(R40*D31,-D5)</f>
        <v>-326.0869565217392</v>
      </c>
      <c r="V40" s="45">
        <f>(S40*D52*(MIN(D49,0.8*O40))-((D38*T40)+(D36*U40)))</f>
        <v>1509787.14632107</v>
      </c>
      <c r="W40" s="45">
        <f>((S40*D52*(MIN(D49,0.8*O40))*((0.5*(D46+D40))-(MIN(D49/2,0.4*O40)))+(((D38*T40)-(D36*U40))*0.5*(D46-D43))))</f>
        <v>8436566.949832784</v>
      </c>
      <c r="X40" s="18">
        <f t="shared" si="0"/>
        <v>1509.78714632107</v>
      </c>
      <c r="Y40" s="19">
        <f t="shared" si="1"/>
        <v>8.436566949832784</v>
      </c>
    </row>
    <row r="41" spans="1:25" ht="12.75">
      <c r="A41" s="187"/>
      <c r="B41" s="154"/>
      <c r="C41" s="139"/>
      <c r="D41" s="182"/>
      <c r="E41" s="99"/>
      <c r="F41" s="99"/>
      <c r="G41" s="99"/>
      <c r="H41" s="99"/>
      <c r="I41" s="99"/>
      <c r="J41" s="99"/>
      <c r="K41" s="99"/>
      <c r="M41" s="120"/>
      <c r="N41" s="9">
        <v>2.5</v>
      </c>
      <c r="O41" s="71">
        <f>N41*D46</f>
        <v>660</v>
      </c>
      <c r="P41" s="34">
        <f>D16*O41/(O41-((3/7)*D49))</f>
        <v>0.0024838709677419356</v>
      </c>
      <c r="Q41" s="34">
        <f>-(D16-((D46-((3/7)*D49))*(P41-D16)/((3/7)*D49)))</f>
        <v>-0.001490322580645161</v>
      </c>
      <c r="R41" s="34">
        <f>-(((P41-D16)*(((3/7)*D49)-D43)/((3/7)*D49))+D16)</f>
        <v>-0.0023483870967741937</v>
      </c>
      <c r="S41" s="39">
        <f>0.85*D1</f>
        <v>13.228124999999999</v>
      </c>
      <c r="T41" s="31">
        <f>MAX(Q41*D31,-D8)</f>
        <v>-307.00645161290316</v>
      </c>
      <c r="U41" s="39">
        <f>MAX(R41*D31,-D5)</f>
        <v>-326.0869565217392</v>
      </c>
      <c r="V41" s="45">
        <f>(S41*D52*(MIN(D49,0.8*O41))-((D38*T41)+(D36*U41)))</f>
        <v>1572286.575105189</v>
      </c>
      <c r="W41" s="45">
        <f>((S41*D52*(MIN(D49,0.8*O41))*((0.5*(D46+D40))-(MIN(D49/2,0.4*O41)))+(((D38*T41)-(D36*U41))*0.5*(D46-D43))))</f>
        <v>1311632.0684432057</v>
      </c>
      <c r="X41" s="18">
        <f t="shared" si="0"/>
        <v>1572.286575105189</v>
      </c>
      <c r="Y41" s="19">
        <f t="shared" si="1"/>
        <v>1.3116320684432057</v>
      </c>
    </row>
    <row r="42" spans="1:25" ht="12.75">
      <c r="A42" s="187"/>
      <c r="B42" s="154"/>
      <c r="C42" s="156"/>
      <c r="D42" s="191"/>
      <c r="E42" s="99"/>
      <c r="F42" s="99"/>
      <c r="G42" s="99"/>
      <c r="H42" s="99"/>
      <c r="I42" s="99"/>
      <c r="J42" s="99"/>
      <c r="K42" s="99"/>
      <c r="M42" s="120"/>
      <c r="N42" s="51">
        <f>O42/D46</f>
        <v>2.9470660918029337</v>
      </c>
      <c r="O42" s="71">
        <f>(P42*(3/7)*D49)/(P42-D16)</f>
        <v>778.0254482359745</v>
      </c>
      <c r="P42" s="34">
        <f>((-Q42*(3/7)*D49)-(D16*D46))/((3/7)*D49-D46)</f>
        <v>0.0023959369706814285</v>
      </c>
      <c r="Q42" s="53">
        <f>-D28</f>
        <v>-0.001582946390882229</v>
      </c>
      <c r="R42" s="34">
        <f>-(((P42-D16)*(((3/7)*D49)-D43)/((3/7)*D49))+D16)</f>
        <v>-0.0022850746188906286</v>
      </c>
      <c r="S42" s="39">
        <f>0.85*D1</f>
        <v>13.228124999999999</v>
      </c>
      <c r="T42" s="31">
        <f>MAX(Q42*D31,-D8)</f>
        <v>-326.0869565217392</v>
      </c>
      <c r="U42" s="39">
        <f>MAX(R42*D31,-D5)</f>
        <v>-326.0869565217392</v>
      </c>
      <c r="V42" s="45">
        <f>(S42*D52*(MIN(D49,0.8*O42))-((D38*T42)+(D36*U42)))</f>
        <v>1583792.1195652173</v>
      </c>
      <c r="W42" s="45">
        <f>((S42*D52*(MIN(D49,0.8*O42))*((0.5*(D46+D40))-(MIN(D49/2,0.4*O42)))+(((D38*T42)-(D36*U42))*0.5*(D46-D43))))</f>
        <v>0</v>
      </c>
      <c r="X42" s="18">
        <f t="shared" si="0"/>
        <v>1583.7921195652173</v>
      </c>
      <c r="Y42" s="19">
        <f t="shared" si="1"/>
        <v>0</v>
      </c>
    </row>
    <row r="43" spans="1:25" ht="12.75">
      <c r="A43" s="187"/>
      <c r="B43" s="154"/>
      <c r="C43" s="138" t="s">
        <v>4</v>
      </c>
      <c r="D43" s="162">
        <v>36</v>
      </c>
      <c r="E43" s="99"/>
      <c r="F43" s="99"/>
      <c r="G43" s="99"/>
      <c r="H43" s="99"/>
      <c r="I43" s="99"/>
      <c r="J43" s="99"/>
      <c r="K43" s="99"/>
      <c r="M43" s="120"/>
      <c r="N43" s="9">
        <v>3</v>
      </c>
      <c r="O43" s="71">
        <f>N43*D46</f>
        <v>792</v>
      </c>
      <c r="P43" s="34">
        <f>D16*O43/(O43-((3/7)*D49))</f>
        <v>0.0023875968992248062</v>
      </c>
      <c r="Q43" s="34">
        <f>-(D16-((D46-((3/7)*D49))*(P43-D16)/((3/7)*D49)))</f>
        <v>-0.0015917312661498707</v>
      </c>
      <c r="R43" s="34">
        <f>-(((P43-D16)*((3/7)*D49-D43))/((3/7)*D49)+D16)</f>
        <v>-0.0022790697674418604</v>
      </c>
      <c r="S43" s="39">
        <f>0.85*D1</f>
        <v>13.228124999999999</v>
      </c>
      <c r="T43" s="31">
        <f>MAX(Q43*D31,-D8)</f>
        <v>-326.0869565217392</v>
      </c>
      <c r="U43" s="39">
        <f>MAX(R43*D31,-D5)</f>
        <v>-326.0869565217392</v>
      </c>
      <c r="V43" s="45">
        <f>(S43*D52*(MIN(D49,0.8*O43))-((D38*T43)+(D36*U43)))</f>
        <v>1583792.1195652173</v>
      </c>
      <c r="W43" s="45">
        <f>((S43*D52*(MIN(D49,0.8*O43))*((0.5*(D46+D40))-(MIN(D49/2,0.4*O43)))+(((D38*T43)-(D36*U43))*0.5*(D46-D43))))</f>
        <v>0</v>
      </c>
      <c r="X43" s="18">
        <f>V43/1000</f>
        <v>1583.7921195652173</v>
      </c>
      <c r="Y43" s="19">
        <f>W43/POWER(1000,2)</f>
        <v>0</v>
      </c>
    </row>
    <row r="44" spans="1:25" ht="12.75">
      <c r="A44" s="187"/>
      <c r="B44" s="154"/>
      <c r="C44" s="154"/>
      <c r="D44" s="189"/>
      <c r="E44" s="25"/>
      <c r="F44" s="25"/>
      <c r="G44" s="25"/>
      <c r="H44" s="25"/>
      <c r="I44" s="25"/>
      <c r="J44" s="25"/>
      <c r="K44" s="25"/>
      <c r="M44" s="120"/>
      <c r="N44" s="9">
        <v>3.5</v>
      </c>
      <c r="O44" s="71">
        <f>N44*D46</f>
        <v>924</v>
      </c>
      <c r="P44" s="34">
        <f>D16*O44/(O44-((3/7)*D49))</f>
        <v>0.0023232758620689658</v>
      </c>
      <c r="Q44" s="34">
        <f>-(D16-((D46-((3/7)*D49))*(P44-D16)/((3/7)*D49)))</f>
        <v>-0.0016594827586206894</v>
      </c>
      <c r="R44" s="34">
        <f>-(((P44-D16)*(((3/7)*D49)-D43)/((3/7)*D49))+D16)</f>
        <v>-0.0022327586206896555</v>
      </c>
      <c r="S44" s="39">
        <f>0.85*D1</f>
        <v>13.228124999999999</v>
      </c>
      <c r="T44" s="31">
        <f>MAX(Q44*D31,-D8)</f>
        <v>-326.0869565217392</v>
      </c>
      <c r="U44" s="39">
        <f>MAX(R44*D31,-D5)</f>
        <v>-326.0869565217392</v>
      </c>
      <c r="V44" s="45">
        <f>(S44*D52*(MIN(D49,0.8*O44))-((D38*T44)+(D36*U44)))</f>
        <v>1583792.1195652173</v>
      </c>
      <c r="W44" s="45">
        <f>((S44*D52*(MIN(D49,0.8*O44))*((0.5*(D46+D40))-(MIN(D49/2,0.4*O44)))+(((D38*T44)-(D36*U44))*0.5*(D46-D43))))</f>
        <v>0</v>
      </c>
      <c r="X44" s="18">
        <f t="shared" si="0"/>
        <v>1583.7921195652173</v>
      </c>
      <c r="Y44" s="19">
        <f t="shared" si="1"/>
        <v>0</v>
      </c>
    </row>
    <row r="45" spans="1:25" ht="13.5" thickBot="1">
      <c r="A45" s="187"/>
      <c r="B45" s="154"/>
      <c r="C45" s="157"/>
      <c r="D45" s="190"/>
      <c r="E45" s="25"/>
      <c r="F45" s="25"/>
      <c r="G45" s="25"/>
      <c r="H45" s="25"/>
      <c r="I45" s="25"/>
      <c r="J45" s="25"/>
      <c r="K45" s="25"/>
      <c r="M45" s="73"/>
      <c r="N45" s="74">
        <f>O45/D49</f>
        <v>3333.33</v>
      </c>
      <c r="O45" s="75">
        <v>999999</v>
      </c>
      <c r="P45" s="117">
        <f>D16*O45/(O45-((3/7)*D49))</f>
        <v>0.002000257176179828</v>
      </c>
      <c r="Q45" s="115">
        <f>-P45</f>
        <v>-0.002000257176179828</v>
      </c>
      <c r="R45" s="116">
        <f>Q45</f>
        <v>-0.002000257176179828</v>
      </c>
      <c r="S45" s="77">
        <f>0.85*D1</f>
        <v>13.228124999999999</v>
      </c>
      <c r="T45" s="77">
        <f>MAX(Q45*D31,-D8)</f>
        <v>-326.0869565217392</v>
      </c>
      <c r="U45" s="77">
        <f>MAX(R45*D31,-D8)</f>
        <v>-326.0869565217392</v>
      </c>
      <c r="V45" s="78">
        <f>(S45*D52*(MIN(D49,0.8*O45))-((D38*T45)+(D36*U45)))</f>
        <v>1583792.1195652173</v>
      </c>
      <c r="W45" s="78">
        <f>((S45*D52*(MIN(D49,0.8*O45))*((0.5*(D46+D40))-(MIN(D49/2,0.4*O45)))+(((D38*T45)-(D36*U45))*0.5*(D46-D43))))</f>
        <v>0</v>
      </c>
      <c r="X45" s="79">
        <f>V45/1000</f>
        <v>1583.7921195652173</v>
      </c>
      <c r="Y45" s="80">
        <f>W45/POWER(1000,2)</f>
        <v>0</v>
      </c>
    </row>
    <row r="46" spans="1:25" ht="12.75">
      <c r="A46" s="187"/>
      <c r="B46" s="154"/>
      <c r="C46" s="158" t="s">
        <v>3</v>
      </c>
      <c r="D46" s="182">
        <f>D49-D40</f>
        <v>264</v>
      </c>
      <c r="E46" s="99"/>
      <c r="F46" s="99"/>
      <c r="G46" s="99"/>
      <c r="H46" s="99"/>
      <c r="I46" s="99"/>
      <c r="J46" s="99"/>
      <c r="K46" s="99"/>
      <c r="M46" s="22"/>
      <c r="Y46" s="9"/>
    </row>
    <row r="47" spans="1:25" ht="12.75">
      <c r="A47" s="187"/>
      <c r="B47" s="154"/>
      <c r="C47" s="158"/>
      <c r="D47" s="182"/>
      <c r="E47" s="99"/>
      <c r="F47" s="99"/>
      <c r="G47" s="99"/>
      <c r="H47" s="99"/>
      <c r="I47" s="99"/>
      <c r="J47" s="99"/>
      <c r="K47" s="99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9"/>
    </row>
    <row r="48" spans="1:25" ht="13.5" thickBot="1">
      <c r="A48" s="187"/>
      <c r="B48" s="154"/>
      <c r="C48" s="158"/>
      <c r="D48" s="182"/>
      <c r="E48" s="99"/>
      <c r="F48" s="99"/>
      <c r="G48" s="99"/>
      <c r="H48" s="99"/>
      <c r="I48" s="99"/>
      <c r="J48" s="99"/>
      <c r="K48" s="99"/>
      <c r="M48" s="119" t="s">
        <v>44</v>
      </c>
      <c r="N48" s="119"/>
      <c r="O48" s="119"/>
      <c r="P48" s="119"/>
      <c r="Q48" s="119"/>
      <c r="R48" s="119"/>
      <c r="S48" s="25"/>
      <c r="T48" s="25"/>
      <c r="U48" s="25"/>
      <c r="V48" s="25"/>
      <c r="W48" s="25"/>
      <c r="X48" s="64"/>
      <c r="Y48" s="9"/>
    </row>
    <row r="49" spans="1:25" ht="12.75">
      <c r="A49" s="187"/>
      <c r="B49" s="154"/>
      <c r="C49" s="159" t="s">
        <v>1</v>
      </c>
      <c r="D49" s="162">
        <v>300</v>
      </c>
      <c r="E49" s="99"/>
      <c r="F49" s="99"/>
      <c r="G49" s="99"/>
      <c r="H49" s="99"/>
      <c r="I49" s="99"/>
      <c r="J49" s="99"/>
      <c r="K49" s="99"/>
      <c r="M49" s="22"/>
      <c r="N49" s="69"/>
      <c r="O49" s="69"/>
      <c r="P49" s="25"/>
      <c r="Q49" s="25"/>
      <c r="R49" s="25"/>
      <c r="S49" s="135">
        <v>1</v>
      </c>
      <c r="T49" s="131" t="s">
        <v>42</v>
      </c>
      <c r="U49" s="132"/>
      <c r="V49" s="105">
        <f>(0.85*(0.83*D3)/(1.25*1.6))*D52*D49-(-D8*D38)-(-D5*D36)</f>
        <v>1345685.8695652173</v>
      </c>
      <c r="W49" s="76">
        <v>0</v>
      </c>
      <c r="X49" s="90">
        <f>V49/1000</f>
        <v>1345.6858695652172</v>
      </c>
      <c r="Y49" s="93">
        <f>W49/POWER(1000,2)</f>
        <v>0</v>
      </c>
    </row>
    <row r="50" spans="1:25" ht="15.75">
      <c r="A50" s="187"/>
      <c r="B50" s="154"/>
      <c r="C50" s="158"/>
      <c r="D50" s="182"/>
      <c r="E50" s="99"/>
      <c r="F50" s="99"/>
      <c r="G50" s="99"/>
      <c r="H50" s="99"/>
      <c r="I50" s="99"/>
      <c r="J50" s="99"/>
      <c r="K50" s="99"/>
      <c r="M50" s="2"/>
      <c r="N50" s="2"/>
      <c r="O50" s="2"/>
      <c r="P50" s="25"/>
      <c r="Q50" s="25"/>
      <c r="R50" s="25"/>
      <c r="S50" s="136"/>
      <c r="T50" s="133" t="s">
        <v>43</v>
      </c>
      <c r="U50" s="134"/>
      <c r="V50" s="106">
        <f>V49</f>
        <v>1345685.8695652173</v>
      </c>
      <c r="W50" s="70">
        <v>85000000</v>
      </c>
      <c r="X50" s="91">
        <f>V50/1000</f>
        <v>1345.6858695652172</v>
      </c>
      <c r="Y50" s="94">
        <f>W50/POWER(1000,2)</f>
        <v>85</v>
      </c>
    </row>
    <row r="51" spans="1:25" ht="12.75">
      <c r="A51" s="187"/>
      <c r="B51" s="154"/>
      <c r="C51" s="144"/>
      <c r="D51" s="191"/>
      <c r="E51" s="99"/>
      <c r="F51" s="99"/>
      <c r="G51" s="99"/>
      <c r="H51" s="99"/>
      <c r="I51" s="99"/>
      <c r="J51" s="99"/>
      <c r="K51" s="99"/>
      <c r="M51" s="2"/>
      <c r="N51" s="2"/>
      <c r="O51" s="2"/>
      <c r="P51" s="25"/>
      <c r="Q51" s="25"/>
      <c r="R51" s="25"/>
      <c r="S51" s="137">
        <v>2</v>
      </c>
      <c r="T51" s="127" t="s">
        <v>41</v>
      </c>
      <c r="U51" s="129">
        <f>MAX(D49/30,20)</f>
        <v>20</v>
      </c>
      <c r="V51" s="89">
        <v>0</v>
      </c>
      <c r="W51" s="89">
        <f>V51*U51</f>
        <v>0</v>
      </c>
      <c r="X51" s="92">
        <f>V51/1000</f>
        <v>0</v>
      </c>
      <c r="Y51" s="95">
        <f>W51/POWER(1000,2)</f>
        <v>0</v>
      </c>
    </row>
    <row r="52" spans="1:25" ht="12.75">
      <c r="A52" s="187"/>
      <c r="B52" s="154"/>
      <c r="C52" s="158" t="s">
        <v>0</v>
      </c>
      <c r="D52" s="182">
        <v>300</v>
      </c>
      <c r="E52" s="99"/>
      <c r="F52" s="99"/>
      <c r="G52" s="99"/>
      <c r="H52" s="99"/>
      <c r="I52" s="99"/>
      <c r="J52" s="99"/>
      <c r="K52" s="99"/>
      <c r="M52" s="25"/>
      <c r="N52" s="25"/>
      <c r="O52" s="25"/>
      <c r="P52" s="25"/>
      <c r="Q52" s="25"/>
      <c r="R52" s="25"/>
      <c r="S52" s="136"/>
      <c r="T52" s="128"/>
      <c r="U52" s="130"/>
      <c r="V52" s="70">
        <v>1600000</v>
      </c>
      <c r="W52" s="70">
        <f>V52*U51</f>
        <v>32000000</v>
      </c>
      <c r="X52" s="91">
        <f>V52/1000</f>
        <v>1600</v>
      </c>
      <c r="Y52" s="94">
        <f>W52/POWER(1000,2)</f>
        <v>32</v>
      </c>
    </row>
    <row r="53" spans="1:25" ht="15.75">
      <c r="A53" s="187"/>
      <c r="B53" s="154"/>
      <c r="C53" s="158"/>
      <c r="D53" s="182"/>
      <c r="E53" s="99"/>
      <c r="F53" s="99"/>
      <c r="G53" s="99"/>
      <c r="H53" s="99"/>
      <c r="I53" s="99"/>
      <c r="J53" s="99"/>
      <c r="K53" s="99"/>
      <c r="M53" s="25"/>
      <c r="N53" s="25"/>
      <c r="O53" s="25"/>
      <c r="P53" s="25"/>
      <c r="Q53" s="25"/>
      <c r="R53" s="25"/>
      <c r="S53" s="88">
        <v>3</v>
      </c>
      <c r="T53" s="121" t="s">
        <v>45</v>
      </c>
      <c r="U53" s="122"/>
      <c r="V53" s="122"/>
      <c r="W53" s="122"/>
      <c r="X53" s="122"/>
      <c r="Y53" s="123"/>
    </row>
    <row r="54" spans="1:25" ht="13.5" thickBot="1">
      <c r="A54" s="188"/>
      <c r="B54" s="155"/>
      <c r="C54" s="195"/>
      <c r="D54" s="183"/>
      <c r="E54" s="99"/>
      <c r="F54" s="99"/>
      <c r="G54" s="99"/>
      <c r="H54" s="99"/>
      <c r="I54" s="99"/>
      <c r="J54" s="99"/>
      <c r="K54" s="99"/>
      <c r="M54" s="25"/>
      <c r="N54" s="25"/>
      <c r="O54" s="25"/>
      <c r="P54" s="25"/>
      <c r="Q54" s="25"/>
      <c r="R54" s="25"/>
      <c r="S54" s="87">
        <v>4</v>
      </c>
      <c r="T54" s="124" t="s">
        <v>46</v>
      </c>
      <c r="U54" s="125"/>
      <c r="V54" s="125"/>
      <c r="W54" s="125"/>
      <c r="X54" s="125"/>
      <c r="Y54" s="126"/>
    </row>
  </sheetData>
  <mergeCells count="62">
    <mergeCell ref="T53:Y53"/>
    <mergeCell ref="T54:Y54"/>
    <mergeCell ref="T49:U49"/>
    <mergeCell ref="T50:U50"/>
    <mergeCell ref="S51:S52"/>
    <mergeCell ref="T51:T52"/>
    <mergeCell ref="U51:U52"/>
    <mergeCell ref="M48:R48"/>
    <mergeCell ref="S49:S50"/>
    <mergeCell ref="M37:M44"/>
    <mergeCell ref="C38:C39"/>
    <mergeCell ref="D38:D39"/>
    <mergeCell ref="D43:D45"/>
    <mergeCell ref="C46:C48"/>
    <mergeCell ref="D46:D48"/>
    <mergeCell ref="C49:C51"/>
    <mergeCell ref="D49:D51"/>
    <mergeCell ref="A36:A54"/>
    <mergeCell ref="B36:B39"/>
    <mergeCell ref="C36:C37"/>
    <mergeCell ref="D36:D37"/>
    <mergeCell ref="C52:C54"/>
    <mergeCell ref="D52:D54"/>
    <mergeCell ref="B40:B54"/>
    <mergeCell ref="C40:C42"/>
    <mergeCell ref="D40:D42"/>
    <mergeCell ref="C43:C45"/>
    <mergeCell ref="B31:B35"/>
    <mergeCell ref="C31:C35"/>
    <mergeCell ref="D31:D35"/>
    <mergeCell ref="M34:M35"/>
    <mergeCell ref="C25:C27"/>
    <mergeCell ref="D25:D27"/>
    <mergeCell ref="M27:M32"/>
    <mergeCell ref="C28:C30"/>
    <mergeCell ref="D28:D30"/>
    <mergeCell ref="M9:M12"/>
    <mergeCell ref="C11:C12"/>
    <mergeCell ref="D11:D12"/>
    <mergeCell ref="B13:B30"/>
    <mergeCell ref="C13:C15"/>
    <mergeCell ref="D13:D15"/>
    <mergeCell ref="M14:M16"/>
    <mergeCell ref="C16:C18"/>
    <mergeCell ref="D16:D18"/>
    <mergeCell ref="M18:M25"/>
    <mergeCell ref="G1:I1"/>
    <mergeCell ref="C3:C4"/>
    <mergeCell ref="D3:D4"/>
    <mergeCell ref="M3:M7"/>
    <mergeCell ref="C5:C7"/>
    <mergeCell ref="D5:D7"/>
    <mergeCell ref="A1:A35"/>
    <mergeCell ref="B1:B12"/>
    <mergeCell ref="C1:C2"/>
    <mergeCell ref="D1:D2"/>
    <mergeCell ref="C8:C10"/>
    <mergeCell ref="D8:D10"/>
    <mergeCell ref="C19:C21"/>
    <mergeCell ref="D19:D21"/>
    <mergeCell ref="C22:C24"/>
    <mergeCell ref="D22:D2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4"/>
  <sheetViews>
    <sheetView zoomScale="75" zoomScaleNormal="75" workbookViewId="0" topLeftCell="A1">
      <selection activeCell="E5" sqref="E5"/>
    </sheetView>
  </sheetViews>
  <sheetFormatPr defaultColWidth="9.140625" defaultRowHeight="12.75"/>
  <cols>
    <col min="1" max="1" width="5.28125" style="0" bestFit="1" customWidth="1"/>
    <col min="2" max="2" width="4.28125" style="0" bestFit="1" customWidth="1"/>
    <col min="3" max="3" width="5.28125" style="0" bestFit="1" customWidth="1"/>
    <col min="4" max="4" width="4.28125" style="0" bestFit="1" customWidth="1"/>
    <col min="5" max="6" width="10.7109375" style="0" customWidth="1"/>
    <col min="7" max="9" width="12.7109375" style="0" customWidth="1"/>
    <col min="10" max="11" width="10.7109375" style="0" customWidth="1"/>
    <col min="12" max="12" width="1.7109375" style="0" customWidth="1"/>
    <col min="13" max="13" width="3.140625" style="0" bestFit="1" customWidth="1"/>
    <col min="14" max="14" width="8.140625" style="0" bestFit="1" customWidth="1"/>
    <col min="15" max="16" width="7.57421875" style="0" bestFit="1" customWidth="1"/>
    <col min="17" max="18" width="8.140625" style="0" bestFit="1" customWidth="1"/>
    <col min="19" max="19" width="5.57421875" style="0" bestFit="1" customWidth="1"/>
    <col min="20" max="21" width="7.140625" style="0" bestFit="1" customWidth="1"/>
    <col min="22" max="22" width="8.00390625" style="0" bestFit="1" customWidth="1"/>
    <col min="23" max="23" width="10.00390625" style="0" customWidth="1"/>
    <col min="24" max="24" width="7.57421875" style="0" bestFit="1" customWidth="1"/>
    <col min="25" max="25" width="6.57421875" style="0" bestFit="1" customWidth="1"/>
  </cols>
  <sheetData>
    <row r="1" spans="1:25" ht="20.25" thickBot="1">
      <c r="A1" s="176" t="s">
        <v>7</v>
      </c>
      <c r="B1" s="141" t="s">
        <v>16</v>
      </c>
      <c r="C1" s="184" t="s">
        <v>19</v>
      </c>
      <c r="D1" s="148">
        <f>0.83*D3/1.6</f>
        <v>15.562499999999998</v>
      </c>
      <c r="E1" s="96"/>
      <c r="F1" s="96"/>
      <c r="G1" s="145" t="s">
        <v>15</v>
      </c>
      <c r="H1" s="146"/>
      <c r="I1" s="147"/>
      <c r="J1" s="2"/>
      <c r="K1" s="96"/>
      <c r="M1" s="26"/>
      <c r="N1" s="27" t="s">
        <v>10</v>
      </c>
      <c r="O1" s="28" t="s">
        <v>5</v>
      </c>
      <c r="P1" s="56" t="s">
        <v>33</v>
      </c>
      <c r="Q1" s="56" t="s">
        <v>40</v>
      </c>
      <c r="R1" s="56" t="s">
        <v>39</v>
      </c>
      <c r="S1" s="56" t="s">
        <v>36</v>
      </c>
      <c r="T1" s="56" t="s">
        <v>37</v>
      </c>
      <c r="U1" s="56" t="s">
        <v>38</v>
      </c>
      <c r="V1" s="55" t="s">
        <v>34</v>
      </c>
      <c r="W1" s="28" t="s">
        <v>35</v>
      </c>
      <c r="X1" s="29" t="s">
        <v>34</v>
      </c>
      <c r="Y1" s="30" t="s">
        <v>35</v>
      </c>
    </row>
    <row r="2" spans="1:25" ht="17.25" thickTop="1">
      <c r="A2" s="177"/>
      <c r="B2" s="139"/>
      <c r="C2" s="185"/>
      <c r="D2" s="149"/>
      <c r="E2" s="96"/>
      <c r="F2" s="96"/>
      <c r="G2" s="101"/>
      <c r="H2" s="6" t="s">
        <v>8</v>
      </c>
      <c r="I2" s="66" t="s">
        <v>9</v>
      </c>
      <c r="J2" s="2"/>
      <c r="K2" s="96"/>
      <c r="M2" s="82"/>
      <c r="N2" s="86">
        <f>O2/D46</f>
        <v>-3184.7101910828023</v>
      </c>
      <c r="O2" s="83">
        <v>-999999</v>
      </c>
      <c r="P2" s="58">
        <v>0</v>
      </c>
      <c r="Q2" s="58">
        <f>D25</f>
        <v>0.01</v>
      </c>
      <c r="R2" s="85">
        <v>0.01</v>
      </c>
      <c r="S2" s="58">
        <v>0</v>
      </c>
      <c r="T2" s="58">
        <f>D8</f>
        <v>326.0869565217392</v>
      </c>
      <c r="U2" s="58">
        <f>MIN(R2*D31,D5)</f>
        <v>326.0869565217392</v>
      </c>
      <c r="V2" s="37">
        <f>(S2*D52*0.8*O2)-((D38*T2)+(D36*U2))</f>
        <v>-409565.21739130444</v>
      </c>
      <c r="W2" s="13">
        <f>((S2*D52*0.8*O2)*((0.5*(D46+D40))-(0.4*O2)))+(((D38*T2)-(D36*U2))*0.5*(D46-D43))</f>
        <v>0</v>
      </c>
      <c r="X2" s="20">
        <f>V2/1000</f>
        <v>-409.56521739130443</v>
      </c>
      <c r="Y2" s="21">
        <f>W2/POWER(1000,2)</f>
        <v>0</v>
      </c>
    </row>
    <row r="3" spans="1:25" ht="15.75">
      <c r="A3" s="177"/>
      <c r="B3" s="139"/>
      <c r="C3" s="167" t="s">
        <v>20</v>
      </c>
      <c r="D3" s="160">
        <v>30</v>
      </c>
      <c r="E3" s="97"/>
      <c r="F3" s="97"/>
      <c r="G3" s="23" t="s">
        <v>65</v>
      </c>
      <c r="H3" s="7">
        <v>967.24</v>
      </c>
      <c r="I3" s="65">
        <v>54.89</v>
      </c>
      <c r="J3" s="2"/>
      <c r="K3" s="97"/>
      <c r="M3" s="120">
        <v>1</v>
      </c>
      <c r="N3" s="8">
        <v>-1</v>
      </c>
      <c r="O3" s="31">
        <f>N3*D46</f>
        <v>-314</v>
      </c>
      <c r="P3" s="31">
        <v>0</v>
      </c>
      <c r="Q3" s="31">
        <f>D25</f>
        <v>0.01</v>
      </c>
      <c r="R3" s="33">
        <f>Q3*(D43-O3)/(D46-O3)</f>
        <v>0.005573248407643312</v>
      </c>
      <c r="S3" s="32">
        <v>0</v>
      </c>
      <c r="T3" s="32">
        <f>D8</f>
        <v>326.0869565217392</v>
      </c>
      <c r="U3" s="32">
        <f>MIN(R3*D31,D5)</f>
        <v>326.0869565217392</v>
      </c>
      <c r="V3" s="36">
        <f>(S3*D52*0.8*O3)-((D38*T3)+(D36*U3))</f>
        <v>-409565.21739130444</v>
      </c>
      <c r="W3" s="7">
        <f>((S3*D52*0.8*O3)*((0.5*(D46+D40))-(0.4*O3)))+(((D38*T3)-(D36*U3))*0.5*(D46-D43))</f>
        <v>0</v>
      </c>
      <c r="X3" s="18">
        <f>V3/1000</f>
        <v>-409.56521739130443</v>
      </c>
      <c r="Y3" s="19">
        <f>W3/POWER(1000,2)</f>
        <v>0</v>
      </c>
    </row>
    <row r="4" spans="1:25" ht="16.5" thickBot="1">
      <c r="A4" s="177"/>
      <c r="B4" s="139"/>
      <c r="C4" s="168"/>
      <c r="D4" s="161"/>
      <c r="E4" s="97"/>
      <c r="F4" s="97"/>
      <c r="G4" s="24" t="s">
        <v>66</v>
      </c>
      <c r="H4" s="4">
        <v>982.25</v>
      </c>
      <c r="I4" s="67">
        <v>47.91</v>
      </c>
      <c r="J4" s="2"/>
      <c r="K4" s="97"/>
      <c r="M4" s="120"/>
      <c r="N4" s="9">
        <v>-0.5</v>
      </c>
      <c r="O4" s="31">
        <f>N4*D46</f>
        <v>-157</v>
      </c>
      <c r="P4" s="31">
        <v>0</v>
      </c>
      <c r="Q4" s="31">
        <f>D25</f>
        <v>0.01</v>
      </c>
      <c r="R4" s="33">
        <f>Q4*(D43-O4)/(D46-O4)</f>
        <v>0.004097664543524416</v>
      </c>
      <c r="S4" s="32">
        <v>0</v>
      </c>
      <c r="T4" s="32">
        <f>D8</f>
        <v>326.0869565217392</v>
      </c>
      <c r="U4" s="32">
        <f>MIN(R4*D31,D5)</f>
        <v>326.0869565217392</v>
      </c>
      <c r="V4" s="36">
        <f>(S4*D52*0.8*O4)-((D38*T4)+(D36*U4))</f>
        <v>-409565.21739130444</v>
      </c>
      <c r="W4" s="7">
        <f>((S4*D52*0.8*O4)*((0.5*(D46+D40))-(0.4*O4)))+(((D38*T4)-(D36*U4))*0.5*(D46-D43))</f>
        <v>0</v>
      </c>
      <c r="X4" s="18">
        <f aca="true" t="shared" si="0" ref="X4:X45">V4/1000</f>
        <v>-409.56521739130443</v>
      </c>
      <c r="Y4" s="19">
        <f aca="true" t="shared" si="1" ref="Y4:Y52">W4/POWER(1000,2)</f>
        <v>0</v>
      </c>
    </row>
    <row r="5" spans="1:25" ht="13.5" thickTop="1">
      <c r="A5" s="177"/>
      <c r="B5" s="139"/>
      <c r="C5" s="169" t="s">
        <v>21</v>
      </c>
      <c r="D5" s="186">
        <f>D11/1.15</f>
        <v>326.0869565217392</v>
      </c>
      <c r="E5" s="98"/>
      <c r="F5" s="98"/>
      <c r="G5" s="24"/>
      <c r="H5" s="4"/>
      <c r="I5" s="67"/>
      <c r="J5" s="2"/>
      <c r="K5" s="98"/>
      <c r="M5" s="120"/>
      <c r="N5" s="8">
        <v>-0.25</v>
      </c>
      <c r="O5" s="31">
        <f>N5*D46</f>
        <v>-78.5</v>
      </c>
      <c r="P5" s="31">
        <v>0</v>
      </c>
      <c r="Q5" s="31">
        <f>D25</f>
        <v>0.01</v>
      </c>
      <c r="R5" s="33">
        <f>Q5*(D43-O5)/(D46-O5)</f>
        <v>0.0029171974522292994</v>
      </c>
      <c r="S5" s="31">
        <v>0</v>
      </c>
      <c r="T5" s="31">
        <f>D8</f>
        <v>326.0869565217392</v>
      </c>
      <c r="U5" s="32">
        <f>MIN(R5*D31,D5)</f>
        <v>326.0869565217392</v>
      </c>
      <c r="V5" s="36">
        <f>(S5*D52*0.8*O5)-((D38*T5)+(D36*U5))</f>
        <v>-409565.21739130444</v>
      </c>
      <c r="W5" s="7">
        <f>((S5*D52*0.8*O5)*((0.5*(D46+D40))-(0.4*O5)))+(((D38*T5)-(D36*U5))*0.5*(D46-D43))</f>
        <v>0</v>
      </c>
      <c r="X5" s="18">
        <f t="shared" si="0"/>
        <v>-409.56521739130443</v>
      </c>
      <c r="Y5" s="19">
        <f t="shared" si="1"/>
        <v>0</v>
      </c>
    </row>
    <row r="6" spans="1:25" ht="13.5" thickBot="1">
      <c r="A6" s="177"/>
      <c r="B6" s="139"/>
      <c r="C6" s="170"/>
      <c r="D6" s="151"/>
      <c r="E6" s="98"/>
      <c r="F6" s="98"/>
      <c r="G6" s="3"/>
      <c r="H6" s="5"/>
      <c r="I6" s="68"/>
      <c r="J6" s="2"/>
      <c r="K6" s="98"/>
      <c r="M6" s="120"/>
      <c r="N6" s="9">
        <v>-0.1</v>
      </c>
      <c r="O6" s="39">
        <f>N6*D46</f>
        <v>-31.400000000000002</v>
      </c>
      <c r="P6" s="39">
        <v>0</v>
      </c>
      <c r="Q6" s="39">
        <f>D25</f>
        <v>0.01</v>
      </c>
      <c r="R6" s="33">
        <f>Q6*(D43-O6)/(D46-O6)</f>
        <v>0.0019513607411696587</v>
      </c>
      <c r="S6" s="39">
        <v>0</v>
      </c>
      <c r="T6" s="39">
        <f>D8</f>
        <v>326.0869565217392</v>
      </c>
      <c r="U6" s="32">
        <f>MIN(R6*D31,D5)</f>
        <v>326.0869565217392</v>
      </c>
      <c r="V6" s="36">
        <f>(S6*D52*0.8*O6)-((D38*T6)+(D36*U6))</f>
        <v>-409565.21739130444</v>
      </c>
      <c r="W6" s="7">
        <f>((S6*D52*0.8*O6)*((0.5*(D46+D40))-(0.4*O6)))+(((D38*T6)-(D36*U6))*0.5*(D46-D43))</f>
        <v>0</v>
      </c>
      <c r="X6" s="18">
        <f>V6/1000</f>
        <v>-409.56521739130443</v>
      </c>
      <c r="Y6" s="19">
        <f>W6/POWER(1000,2)</f>
        <v>0</v>
      </c>
    </row>
    <row r="7" spans="1:25" ht="12.75">
      <c r="A7" s="177"/>
      <c r="B7" s="139"/>
      <c r="C7" s="171"/>
      <c r="D7" s="152"/>
      <c r="E7" s="98"/>
      <c r="F7" s="98"/>
      <c r="G7" s="98"/>
      <c r="H7" s="98"/>
      <c r="I7" s="98"/>
      <c r="J7" s="2"/>
      <c r="K7" s="98"/>
      <c r="L7" s="1"/>
      <c r="M7" s="120"/>
      <c r="N7" s="51">
        <f>O7/D46</f>
        <v>-0.05185301126308865</v>
      </c>
      <c r="O7" s="39">
        <f>-((R7*D46)-(Q7*D43))/(Q7-R7)</f>
        <v>-16.281845536609836</v>
      </c>
      <c r="P7" s="31">
        <v>0</v>
      </c>
      <c r="Q7" s="31">
        <f>D25</f>
        <v>0.01</v>
      </c>
      <c r="R7" s="59">
        <f>D22</f>
        <v>0.001582946390882229</v>
      </c>
      <c r="S7" s="31">
        <v>0</v>
      </c>
      <c r="T7" s="31">
        <f>D8</f>
        <v>326.0869565217392</v>
      </c>
      <c r="U7" s="32">
        <f>MIN(R7*D31,D5)</f>
        <v>326.0869565217392</v>
      </c>
      <c r="V7" s="36">
        <f>(S7*D52*0.8*O7)-((D38*T7)+(D36*U7))</f>
        <v>-409565.21739130444</v>
      </c>
      <c r="W7" s="36">
        <f>((S7*D52*0.8*O7)*((0.5*(D46+D40))-(0.4*O7)))+(((D38*T7)-(D36*U7))*0.5*(D46-D43))</f>
        <v>0</v>
      </c>
      <c r="X7" s="18">
        <f t="shared" si="0"/>
        <v>-409.56521739130443</v>
      </c>
      <c r="Y7" s="19">
        <f t="shared" si="1"/>
        <v>0</v>
      </c>
    </row>
    <row r="8" spans="1:25" ht="12.75">
      <c r="A8" s="177"/>
      <c r="B8" s="139"/>
      <c r="C8" s="172" t="s">
        <v>22</v>
      </c>
      <c r="D8" s="150">
        <f>D11/1.15</f>
        <v>326.0869565217392</v>
      </c>
      <c r="E8" s="98"/>
      <c r="F8" s="98"/>
      <c r="G8" s="98"/>
      <c r="H8" s="98"/>
      <c r="I8" s="98"/>
      <c r="J8" s="2"/>
      <c r="K8" s="98"/>
      <c r="M8" s="11"/>
      <c r="N8" s="108">
        <v>0</v>
      </c>
      <c r="O8" s="15">
        <f>N8*D46</f>
        <v>0</v>
      </c>
      <c r="P8" s="62">
        <f>Q8*O8/(D46-O8)</f>
        <v>0</v>
      </c>
      <c r="Q8" s="15">
        <f>D25</f>
        <v>0.01</v>
      </c>
      <c r="R8" s="57">
        <f>Q8*(D43-O8)/(D46-O8)</f>
        <v>0.0011464968152866241</v>
      </c>
      <c r="S8" s="15">
        <f>1000*0.85*D1*(P8-(250*P8^2))</f>
        <v>0</v>
      </c>
      <c r="T8" s="15">
        <f>D8</f>
        <v>326.0869565217392</v>
      </c>
      <c r="U8" s="58">
        <f>MIN(R8*D31,D5)</f>
        <v>236.17834394904457</v>
      </c>
      <c r="V8" s="37">
        <f>(S8*D52*0.8*O8)-((D38*T8)+(D36*U8))</f>
        <v>-353102.6086956522</v>
      </c>
      <c r="W8" s="37">
        <f>((S8*D52*0.8*O8)*((0.5*(D46+D40))-(0.4*O8)))+(((D38*T8)-(D36*U8))*0.5*(D46-D43))</f>
        <v>7848302.608695659</v>
      </c>
      <c r="X8" s="20">
        <f t="shared" si="0"/>
        <v>-353.10260869565224</v>
      </c>
      <c r="Y8" s="21">
        <f t="shared" si="1"/>
        <v>7.848302608695659</v>
      </c>
    </row>
    <row r="9" spans="1:25" ht="12.75">
      <c r="A9" s="177"/>
      <c r="B9" s="139"/>
      <c r="C9" s="170"/>
      <c r="D9" s="151"/>
      <c r="E9" s="98"/>
      <c r="F9" s="98"/>
      <c r="G9" s="99"/>
      <c r="H9" s="99"/>
      <c r="I9" s="99"/>
      <c r="J9" s="98"/>
      <c r="K9" s="98"/>
      <c r="M9" s="120" t="s">
        <v>14</v>
      </c>
      <c r="N9" s="2">
        <v>0.05</v>
      </c>
      <c r="O9" s="31">
        <f>N9*D46</f>
        <v>15.700000000000001</v>
      </c>
      <c r="P9" s="34">
        <f>Q9*O9/(D46-O9)</f>
        <v>0.0005263157894736842</v>
      </c>
      <c r="Q9" s="31">
        <f>D25</f>
        <v>0.01</v>
      </c>
      <c r="R9" s="34">
        <f>Q9*(D43-O9)/(D46-O9)</f>
        <v>0.0006805229634596043</v>
      </c>
      <c r="S9" s="31">
        <f>1000*0.85*D1*(P9-(250*P9^2))</f>
        <v>6.046095914127423</v>
      </c>
      <c r="T9" s="31">
        <f>D8</f>
        <v>326.0869565217392</v>
      </c>
      <c r="U9" s="31">
        <f>MIN(R9*D31,D5)</f>
        <v>140.18773047267848</v>
      </c>
      <c r="V9" s="36">
        <f>(S9*D52*0.8*O9)-((D38*T9)+(D36*U9))</f>
        <v>-266241.86579399015</v>
      </c>
      <c r="W9" s="36">
        <f>((S9*D52*0.8*O9)*((0.5*(D46+D40))-(0.4*O9)))+(((D38*T9)-(D36*U9))*0.5*(D46-D43))</f>
        <v>20711862.98264303</v>
      </c>
      <c r="X9" s="18">
        <f t="shared" si="0"/>
        <v>-266.24186579399014</v>
      </c>
      <c r="Y9" s="19">
        <f t="shared" si="1"/>
        <v>20.71186298264303</v>
      </c>
    </row>
    <row r="10" spans="1:25" ht="12.75">
      <c r="A10" s="177"/>
      <c r="B10" s="139"/>
      <c r="C10" s="171"/>
      <c r="D10" s="152"/>
      <c r="E10" s="98"/>
      <c r="F10" s="98"/>
      <c r="G10" s="99"/>
      <c r="H10" s="99"/>
      <c r="I10" s="99"/>
      <c r="J10" s="98"/>
      <c r="K10" s="98"/>
      <c r="M10" s="120"/>
      <c r="N10" s="9">
        <v>0.1</v>
      </c>
      <c r="O10" s="39">
        <f>N10*D46</f>
        <v>31.400000000000002</v>
      </c>
      <c r="P10" s="48">
        <f>Q10*O10/(D46-O10)</f>
        <v>0.0011111111111111111</v>
      </c>
      <c r="Q10" s="39">
        <f>D25</f>
        <v>0.01</v>
      </c>
      <c r="R10" s="48">
        <f>Q10*(D43-O10)/(D46-O10)</f>
        <v>0.00016277423920736013</v>
      </c>
      <c r="S10" s="39">
        <f>1000*0.85*D1*(P10-(250*P10^2))</f>
        <v>10.615162037037036</v>
      </c>
      <c r="T10" s="39">
        <f>D8</f>
        <v>326.0869565217392</v>
      </c>
      <c r="U10" s="39">
        <f>MAX(R10*D31,-D5)</f>
        <v>33.53149327671619</v>
      </c>
      <c r="V10" s="45">
        <f>(S10*D52*0.8*O10)-((D38*T10)+(D36*U10))</f>
        <v>-132511.88184380034</v>
      </c>
      <c r="W10" s="45">
        <f>((S10*D52*0.8*O10)*((0.5*(D46+D40))-(0.4*O10)))+(((D38*T10)-(D36*U10))*0.5*(D46-D43))</f>
        <v>40698033.78962159</v>
      </c>
      <c r="X10" s="52">
        <f t="shared" si="0"/>
        <v>-132.51188184380032</v>
      </c>
      <c r="Y10" s="60">
        <f t="shared" si="1"/>
        <v>40.69803378962159</v>
      </c>
    </row>
    <row r="11" spans="1:25" ht="12.75">
      <c r="A11" s="177"/>
      <c r="B11" s="139"/>
      <c r="C11" s="167" t="s">
        <v>23</v>
      </c>
      <c r="D11" s="162">
        <v>375</v>
      </c>
      <c r="E11" s="99"/>
      <c r="F11" s="99"/>
      <c r="G11" s="100"/>
      <c r="H11" s="100"/>
      <c r="I11" s="100"/>
      <c r="J11" s="99"/>
      <c r="K11" s="99"/>
      <c r="M11" s="120"/>
      <c r="N11" s="107">
        <f>O11/D46</f>
        <v>0.11464968152866242</v>
      </c>
      <c r="O11" s="31">
        <f>D43</f>
        <v>36</v>
      </c>
      <c r="P11" s="34">
        <f>Q11*O11/(D46-O11)</f>
        <v>0.0012949640287769784</v>
      </c>
      <c r="Q11" s="31">
        <f>D25</f>
        <v>0.01</v>
      </c>
      <c r="R11" s="54">
        <f>Q11*(D43-O11)/(D46-O11)</f>
        <v>0</v>
      </c>
      <c r="S11" s="31">
        <f>1000*0.85*D1*(P11-(250*P11^2))</f>
        <v>11.584280057968012</v>
      </c>
      <c r="T11" s="31">
        <f>D8</f>
        <v>326.0869565217392</v>
      </c>
      <c r="U11" s="31">
        <f>MAX(R11*D31,-D5)</f>
        <v>0</v>
      </c>
      <c r="V11" s="36">
        <f>(S11*D52*0.8*O11)-((D38*T11)+(D36*U11))</f>
        <v>-88013.06571133467</v>
      </c>
      <c r="W11" s="36">
        <f>((S11*D52*0.8*O11)*((0.5*(D46+D40))-(0.4*O11)))+(((D38*T11)-(D36*U11))*0.5*(D46-D43))</f>
        <v>47217971.21197706</v>
      </c>
      <c r="X11" s="18">
        <f t="shared" si="0"/>
        <v>-88.01306571133466</v>
      </c>
      <c r="Y11" s="19">
        <f t="shared" si="1"/>
        <v>47.21797121197706</v>
      </c>
    </row>
    <row r="12" spans="1:25" ht="13.5" thickBot="1">
      <c r="A12" s="177"/>
      <c r="B12" s="142"/>
      <c r="C12" s="168"/>
      <c r="D12" s="163"/>
      <c r="E12" s="99"/>
      <c r="F12" s="99"/>
      <c r="G12" s="100"/>
      <c r="H12" s="100"/>
      <c r="I12" s="100"/>
      <c r="J12" s="99"/>
      <c r="K12" s="99"/>
      <c r="M12" s="120"/>
      <c r="N12" s="2">
        <v>0.15</v>
      </c>
      <c r="O12" s="31">
        <f>N12*D46</f>
        <v>47.1</v>
      </c>
      <c r="P12" s="34">
        <f>Q12*O12/(D46-O12)</f>
        <v>0.0017647058823529415</v>
      </c>
      <c r="Q12" s="31">
        <f>D25</f>
        <v>0.01</v>
      </c>
      <c r="R12" s="34">
        <f>Q12*(D43-O12)/(D46-O12)</f>
        <v>-0.00041588609966279513</v>
      </c>
      <c r="S12" s="31">
        <f>1000*0.85*D1*(P12-(250*P12^2))</f>
        <v>13.04503676470588</v>
      </c>
      <c r="T12" s="31">
        <f>D8</f>
        <v>326.0869565217392</v>
      </c>
      <c r="U12" s="31">
        <f>MAX(R12*D31,-D5)</f>
        <v>-85.6725365305358</v>
      </c>
      <c r="V12" s="36">
        <f>(S12*D52*0.8*O12)-((D38*T12)+(D36*U12))</f>
        <v>21057.68909846543</v>
      </c>
      <c r="W12" s="36">
        <f>((S12*D52*0.8*O12)*((0.5*(D46+D40))-(0.4*O12)))+(((D38*T12)-(D36*U12))*0.5*(D46-D43))</f>
        <v>62808755.13575448</v>
      </c>
      <c r="X12" s="18">
        <f t="shared" si="0"/>
        <v>21.05768909846543</v>
      </c>
      <c r="Y12" s="19">
        <f t="shared" si="1"/>
        <v>62.80875513575448</v>
      </c>
    </row>
    <row r="13" spans="1:25" ht="13.5" thickTop="1">
      <c r="A13" s="177"/>
      <c r="B13" s="153" t="s">
        <v>12</v>
      </c>
      <c r="C13" s="180" t="s">
        <v>24</v>
      </c>
      <c r="D13" s="173">
        <v>0.0035</v>
      </c>
      <c r="E13" s="100"/>
      <c r="F13" s="100"/>
      <c r="G13" s="100"/>
      <c r="H13" s="100"/>
      <c r="I13" s="100"/>
      <c r="J13" s="100"/>
      <c r="K13" s="100"/>
      <c r="M13" s="11"/>
      <c r="N13" s="14">
        <f>1/6</f>
        <v>0.16666666666666666</v>
      </c>
      <c r="O13" s="15">
        <f>N13*D46</f>
        <v>52.33333333333333</v>
      </c>
      <c r="P13" s="63">
        <f>Q13*O13/(D46-O13)</f>
        <v>0.0019999999999999996</v>
      </c>
      <c r="Q13" s="15">
        <f>D25</f>
        <v>0.01</v>
      </c>
      <c r="R13" s="35">
        <f>Q13*(D43-O13)/(D46-O13)</f>
        <v>-0.0006242038216560507</v>
      </c>
      <c r="S13" s="15">
        <f>1000*0.85*D1*(P13-(250*P13^2))</f>
        <v>13.228124999999999</v>
      </c>
      <c r="T13" s="15">
        <f>D8</f>
        <v>326.0869565217392</v>
      </c>
      <c r="U13" s="15">
        <f>MAX(R13*D31,-D5)</f>
        <v>-128.58598726114644</v>
      </c>
      <c r="V13" s="37">
        <f>(S13*D52*0.8*O13)-((D38*T13)+(D36*U13))</f>
        <v>69805.51630434772</v>
      </c>
      <c r="W13" s="37">
        <f>((S13*D52*0.8*O13)*((0.5*(D46+D40))-(0.4*O13)))+(((D38*T13)-(D36*U13))*0.5*(D46-D43))</f>
        <v>69552996.26702899</v>
      </c>
      <c r="X13" s="20">
        <f t="shared" si="0"/>
        <v>69.80551630434772</v>
      </c>
      <c r="Y13" s="21">
        <f t="shared" si="1"/>
        <v>69.55299626702899</v>
      </c>
    </row>
    <row r="14" spans="1:25" ht="12.75">
      <c r="A14" s="177"/>
      <c r="B14" s="139"/>
      <c r="C14" s="165"/>
      <c r="D14" s="174"/>
      <c r="E14" s="100"/>
      <c r="F14" s="100"/>
      <c r="G14" s="100"/>
      <c r="H14" s="100"/>
      <c r="I14" s="100"/>
      <c r="J14" s="100"/>
      <c r="K14" s="100"/>
      <c r="M14" s="120" t="s">
        <v>13</v>
      </c>
      <c r="N14" s="9">
        <v>0.2</v>
      </c>
      <c r="O14" s="39">
        <f>N14*D46</f>
        <v>62.800000000000004</v>
      </c>
      <c r="P14" s="48">
        <f>Q14*O14/(D46-O14)</f>
        <v>0.0025</v>
      </c>
      <c r="Q14" s="39">
        <f>D25</f>
        <v>0.01</v>
      </c>
      <c r="R14" s="48">
        <f>Q14*(D43-O14)/(D46-O14)</f>
        <v>-0.0010668789808917201</v>
      </c>
      <c r="S14" s="39">
        <f>0.85*D1</f>
        <v>13.228124999999999</v>
      </c>
      <c r="T14" s="39">
        <f>D8</f>
        <v>326.0869565217392</v>
      </c>
      <c r="U14" s="39">
        <f>MAX(R14*D31,-D5)</f>
        <v>-219.77707006369434</v>
      </c>
      <c r="V14" s="45">
        <f>(S14*D52*0.8*O14)-((D38*T14)+(D36*U14))</f>
        <v>165840.74130434782</v>
      </c>
      <c r="W14" s="45">
        <f>((S14*D52*0.8*O14)*((0.5*(D46+D40))-(0.4*O14)))+(((D38*T14)-(D36*U14))*0.5*(D46-D43))</f>
        <v>82512152.70669566</v>
      </c>
      <c r="X14" s="52">
        <f>V14/1000</f>
        <v>165.8407413043478</v>
      </c>
      <c r="Y14" s="60">
        <f>W14/POWER(1000,2)</f>
        <v>82.51215270669566</v>
      </c>
    </row>
    <row r="15" spans="1:25" ht="12.75">
      <c r="A15" s="177"/>
      <c r="B15" s="139"/>
      <c r="C15" s="166"/>
      <c r="D15" s="175"/>
      <c r="E15" s="100"/>
      <c r="F15" s="100"/>
      <c r="G15" s="100"/>
      <c r="H15" s="100"/>
      <c r="I15" s="100"/>
      <c r="J15" s="100"/>
      <c r="K15" s="100"/>
      <c r="M15" s="120"/>
      <c r="N15" s="51">
        <f>O15/D46</f>
        <v>0.23564325639263894</v>
      </c>
      <c r="O15" s="39">
        <f>((-R15*D46)+(Q15*D43))/(-R15+Q15)</f>
        <v>73.99198250728863</v>
      </c>
      <c r="P15" s="34">
        <f>Q15*O15/(D46-O15)</f>
        <v>0.00308289628322669</v>
      </c>
      <c r="Q15" s="31">
        <f>D25</f>
        <v>0.01</v>
      </c>
      <c r="R15" s="53">
        <f>-D22</f>
        <v>-0.001582946390882229</v>
      </c>
      <c r="S15" s="31">
        <f>0.85*D1</f>
        <v>13.228124999999999</v>
      </c>
      <c r="T15" s="31">
        <f>D8</f>
        <v>326.0869565217392</v>
      </c>
      <c r="U15" s="31">
        <f>MAX(R15*D31,-D5)</f>
        <v>-326.0869565217392</v>
      </c>
      <c r="V15" s="36">
        <f>(S15*D52*0.8*O15)-((D38*T15)+(D36*U15))</f>
        <v>274057.0542091836</v>
      </c>
      <c r="W15" s="36">
        <f>((S15*D52*0.8*O15)*((0.5*(D46+D40))-(0.4*O15)))+(((D38*T15)-(D36*U15))*0.5*(D46-D43))</f>
        <v>96778339.79958045</v>
      </c>
      <c r="X15" s="18">
        <f t="shared" si="0"/>
        <v>274.0570542091836</v>
      </c>
      <c r="Y15" s="19">
        <f t="shared" si="1"/>
        <v>96.77833979958045</v>
      </c>
    </row>
    <row r="16" spans="1:25" ht="12.75">
      <c r="A16" s="177"/>
      <c r="B16" s="139"/>
      <c r="C16" s="164" t="s">
        <v>25</v>
      </c>
      <c r="D16" s="179">
        <v>0.002</v>
      </c>
      <c r="E16" s="100"/>
      <c r="F16" s="100"/>
      <c r="G16" s="100"/>
      <c r="H16" s="100"/>
      <c r="I16" s="100"/>
      <c r="J16" s="100"/>
      <c r="K16" s="100"/>
      <c r="M16" s="120"/>
      <c r="N16" s="2">
        <v>0.25</v>
      </c>
      <c r="O16" s="31">
        <f>N16*D46</f>
        <v>78.5</v>
      </c>
      <c r="P16" s="34">
        <f>Q16*O16/(D46-O16)</f>
        <v>0.0033333333333333335</v>
      </c>
      <c r="Q16" s="31">
        <f>D25</f>
        <v>0.01</v>
      </c>
      <c r="R16" s="34">
        <f>Q16*(D43-O16)/(D46-O16)</f>
        <v>-0.0018046709129511678</v>
      </c>
      <c r="S16" s="31">
        <f>0.85*D1</f>
        <v>13.228124999999999</v>
      </c>
      <c r="T16" s="31">
        <f>D8</f>
        <v>326.0869565217392</v>
      </c>
      <c r="U16" s="31">
        <f>MAX(R16*D31,-D5)</f>
        <v>-326.0869565217392</v>
      </c>
      <c r="V16" s="36">
        <f>(S16*D52*0.8*O16)-((D38*T16)+(D36*U16))</f>
        <v>290754.18749999994</v>
      </c>
      <c r="W16" s="36">
        <f>((S16*D52*0.8*O16)*((0.5*(D46+D40))-(0.4*O16)))+(((D38*T16)-(D36*U16))*0.5*(D46-D43))</f>
        <v>98681866.5423913</v>
      </c>
      <c r="X16" s="18">
        <f t="shared" si="0"/>
        <v>290.75418749999994</v>
      </c>
      <c r="Y16" s="19">
        <f t="shared" si="1"/>
        <v>98.6818665423913</v>
      </c>
    </row>
    <row r="17" spans="1:25" ht="12.75">
      <c r="A17" s="177"/>
      <c r="B17" s="139"/>
      <c r="C17" s="165"/>
      <c r="D17" s="174"/>
      <c r="E17" s="100"/>
      <c r="F17" s="100"/>
      <c r="G17" s="100"/>
      <c r="H17" s="100"/>
      <c r="I17" s="100"/>
      <c r="J17" s="100"/>
      <c r="K17" s="100"/>
      <c r="M17" s="11"/>
      <c r="N17" s="14">
        <f>1/(1+D25/D13)</f>
        <v>0.25925925925925924</v>
      </c>
      <c r="O17" s="15">
        <f>N17*D46</f>
        <v>81.4074074074074</v>
      </c>
      <c r="P17" s="63">
        <f>Q17*O17/(D46-O17)</f>
        <v>0.0034999999999999996</v>
      </c>
      <c r="Q17" s="62">
        <f>D25</f>
        <v>0.01</v>
      </c>
      <c r="R17" s="35">
        <f>Q17*(D43-O17)/(D46-O17)</f>
        <v>-0.0019522292993630571</v>
      </c>
      <c r="S17" s="15">
        <f>0.85*D1</f>
        <v>13.228124999999999</v>
      </c>
      <c r="T17" s="15">
        <f>D8</f>
        <v>326.0869565217392</v>
      </c>
      <c r="U17" s="15">
        <f>MAX(R17*D31,-D5)</f>
        <v>-326.0869565217392</v>
      </c>
      <c r="V17" s="37">
        <f>(S17*D52*0.8*O17)-((D38*T17)+(D36*U17))</f>
        <v>301522.86111111107</v>
      </c>
      <c r="W17" s="37">
        <f>((S17*D52*0.8*O17)*((0.5*(D46+D40))-(0.4*O17)))+(((D38*T17)-(D36*U17))*0.5*(D46-D43))</f>
        <v>99877588.15298802</v>
      </c>
      <c r="X17" s="20">
        <f t="shared" si="0"/>
        <v>301.52286111111107</v>
      </c>
      <c r="Y17" s="21">
        <f t="shared" si="1"/>
        <v>99.87758815298801</v>
      </c>
    </row>
    <row r="18" spans="1:25" ht="13.5" thickBot="1">
      <c r="A18" s="177"/>
      <c r="B18" s="139"/>
      <c r="C18" s="181"/>
      <c r="D18" s="196"/>
      <c r="E18" s="100"/>
      <c r="F18" s="100"/>
      <c r="G18" s="100"/>
      <c r="H18" s="100"/>
      <c r="I18" s="100"/>
      <c r="J18" s="100"/>
      <c r="K18" s="100"/>
      <c r="M18" s="120">
        <v>3</v>
      </c>
      <c r="N18" s="8">
        <v>0.3</v>
      </c>
      <c r="O18" s="39">
        <f>N18*D46</f>
        <v>94.2</v>
      </c>
      <c r="P18" s="38">
        <f>D13</f>
        <v>0.0035</v>
      </c>
      <c r="Q18" s="34">
        <f>P18*(D46-O18)/O18</f>
        <v>0.008166666666666668</v>
      </c>
      <c r="R18" s="34">
        <f>P18*(D43-O18)/O18</f>
        <v>-0.002162420382165605</v>
      </c>
      <c r="S18" s="31">
        <f>0.85*D1</f>
        <v>13.228124999999999</v>
      </c>
      <c r="T18" s="39">
        <f>D8</f>
        <v>326.0869565217392</v>
      </c>
      <c r="U18" s="39">
        <f>MAX(R18*D31,-D5)</f>
        <v>-326.0869565217392</v>
      </c>
      <c r="V18" s="45">
        <f>(S18*D52*0.8*O18)-((D38*T18)+(D36*U18))</f>
        <v>348905.02499999997</v>
      </c>
      <c r="W18" s="45">
        <f>((S18*D52*0.8*O18)*((0.5*(D46+D40))-(0.4*O18)))+(((D38*T18)-(D36*U18))*0.5*(D46-D43))</f>
        <v>104841203.2503913</v>
      </c>
      <c r="X18" s="18">
        <f t="shared" si="0"/>
        <v>348.90502499999997</v>
      </c>
      <c r="Y18" s="19">
        <f t="shared" si="1"/>
        <v>104.8412032503913</v>
      </c>
    </row>
    <row r="19" spans="1:25" ht="13.5" thickTop="1">
      <c r="A19" s="177"/>
      <c r="B19" s="139"/>
      <c r="C19" s="180" t="s">
        <v>26</v>
      </c>
      <c r="D19" s="173">
        <v>0.01</v>
      </c>
      <c r="E19" s="100"/>
      <c r="F19" s="100"/>
      <c r="G19" s="100"/>
      <c r="H19" s="100"/>
      <c r="I19" s="100"/>
      <c r="J19" s="100"/>
      <c r="K19" s="100"/>
      <c r="M19" s="120"/>
      <c r="N19" s="2">
        <v>0.35</v>
      </c>
      <c r="O19" s="39">
        <f>N19*D46</f>
        <v>109.89999999999999</v>
      </c>
      <c r="P19" s="38">
        <f>D13</f>
        <v>0.0035</v>
      </c>
      <c r="Q19" s="34">
        <f>P19*(D46-O19)/O19</f>
        <v>0.006500000000000001</v>
      </c>
      <c r="R19" s="34">
        <f>P19*(D43-O19)/O19</f>
        <v>-0.002353503184713376</v>
      </c>
      <c r="S19" s="31">
        <f>0.85*D1</f>
        <v>13.228124999999999</v>
      </c>
      <c r="T19" s="39">
        <f>D8</f>
        <v>326.0869565217392</v>
      </c>
      <c r="U19" s="39">
        <f>MAX(R19*D31,-D5)</f>
        <v>-326.0869565217392</v>
      </c>
      <c r="V19" s="45">
        <f>(S19*D52*0.8*O19)-((D38*T19)+(D36*U19))</f>
        <v>407055.86249999993</v>
      </c>
      <c r="W19" s="45">
        <f>((S19*D52*0.8*O19)*((0.5*(D46+D40))-(0.4*O19)))+(((D38*T19)-(D36*U19))*0.5*(D46-D43))</f>
        <v>110270165.43939131</v>
      </c>
      <c r="X19" s="18">
        <f t="shared" si="0"/>
        <v>407.05586249999993</v>
      </c>
      <c r="Y19" s="19">
        <f t="shared" si="1"/>
        <v>110.27016543939132</v>
      </c>
    </row>
    <row r="20" spans="1:25" ht="12.75">
      <c r="A20" s="177"/>
      <c r="B20" s="139"/>
      <c r="C20" s="165"/>
      <c r="D20" s="174"/>
      <c r="E20" s="100"/>
      <c r="F20" s="100"/>
      <c r="G20" s="100"/>
      <c r="H20" s="100"/>
      <c r="I20" s="100"/>
      <c r="J20" s="100"/>
      <c r="K20" s="100"/>
      <c r="M20" s="120"/>
      <c r="N20" s="8">
        <v>0.4</v>
      </c>
      <c r="O20" s="39">
        <f>N20*D46</f>
        <v>125.60000000000001</v>
      </c>
      <c r="P20" s="38">
        <f>D13</f>
        <v>0.0035</v>
      </c>
      <c r="Q20" s="34">
        <f>P20*(D46-O20)/O20</f>
        <v>0.0052499999999999995</v>
      </c>
      <c r="R20" s="34">
        <f>P20*(D43-O20)/O20</f>
        <v>-0.002496815286624204</v>
      </c>
      <c r="S20" s="31">
        <f>0.85*D1</f>
        <v>13.228124999999999</v>
      </c>
      <c r="T20" s="39">
        <f>D8</f>
        <v>326.0869565217392</v>
      </c>
      <c r="U20" s="39">
        <f>MAX(R20*D31,-D5)</f>
        <v>-326.0869565217392</v>
      </c>
      <c r="V20" s="45">
        <f>(S20*D52*0.8*O20)-((D38*T20)+(D36*U20))</f>
        <v>465206.69999999995</v>
      </c>
      <c r="W20" s="45">
        <f>((S20*D52*0.8*O20)*((0.5*(D46+D40))-(0.4*O20)))+(((D38*T20)-(D36*U20))*0.5*(D46-D43))</f>
        <v>114968753.1093913</v>
      </c>
      <c r="X20" s="18">
        <f t="shared" si="0"/>
        <v>465.20669999999996</v>
      </c>
      <c r="Y20" s="19">
        <f t="shared" si="1"/>
        <v>114.9687531093913</v>
      </c>
    </row>
    <row r="21" spans="1:25" ht="12.75">
      <c r="A21" s="177"/>
      <c r="B21" s="139"/>
      <c r="C21" s="166"/>
      <c r="D21" s="175"/>
      <c r="E21" s="100"/>
      <c r="F21" s="100"/>
      <c r="G21" s="100"/>
      <c r="H21" s="100"/>
      <c r="I21" s="100"/>
      <c r="J21" s="100"/>
      <c r="K21" s="100"/>
      <c r="M21" s="120"/>
      <c r="N21" s="2">
        <v>0.45</v>
      </c>
      <c r="O21" s="39">
        <f>N21*D46</f>
        <v>141.3</v>
      </c>
      <c r="P21" s="38">
        <f>D13</f>
        <v>0.0035</v>
      </c>
      <c r="Q21" s="34">
        <f>P21*(D46-O21)/O21</f>
        <v>0.004277777777777777</v>
      </c>
      <c r="R21" s="34">
        <f>P21*(D43-O21)/O21</f>
        <v>-0.0026082802547770702</v>
      </c>
      <c r="S21" s="31">
        <f>0.85*D1</f>
        <v>13.228124999999999</v>
      </c>
      <c r="T21" s="39">
        <f>D8</f>
        <v>326.0869565217392</v>
      </c>
      <c r="U21" s="39">
        <f>MAX(R21*D31,-D5)</f>
        <v>-326.0869565217392</v>
      </c>
      <c r="V21" s="45">
        <f>(S21*D52*0.8*O21)-((D38*T21)+(D36*U21))</f>
        <v>523357.5375</v>
      </c>
      <c r="W21" s="45">
        <f>((S21*D52*0.8*O21)*((0.5*(D46+D40))-(0.4*O21)))+(((D38*T21)-(D36*U21))*0.5*(D46-D43))</f>
        <v>118936966.26039131</v>
      </c>
      <c r="X21" s="18">
        <f t="shared" si="0"/>
        <v>523.3575374999999</v>
      </c>
      <c r="Y21" s="19">
        <f t="shared" si="1"/>
        <v>118.93696626039132</v>
      </c>
    </row>
    <row r="22" spans="1:25" ht="12.75">
      <c r="A22" s="177"/>
      <c r="B22" s="139"/>
      <c r="C22" s="164" t="s">
        <v>27</v>
      </c>
      <c r="D22" s="179">
        <f>D5/D31</f>
        <v>0.001582946390882229</v>
      </c>
      <c r="E22" s="100"/>
      <c r="F22" s="100"/>
      <c r="G22" s="100"/>
      <c r="H22" s="100"/>
      <c r="I22" s="100"/>
      <c r="J22" s="100"/>
      <c r="K22" s="100"/>
      <c r="M22" s="120"/>
      <c r="N22" s="8">
        <v>0.5</v>
      </c>
      <c r="O22" s="39">
        <f>N22*D46</f>
        <v>157</v>
      </c>
      <c r="P22" s="38">
        <f>D13</f>
        <v>0.0035</v>
      </c>
      <c r="Q22" s="34">
        <f>P22*(D46-O22)/O22</f>
        <v>0.0035</v>
      </c>
      <c r="R22" s="34">
        <f>P22*(D43-O22)/O22</f>
        <v>-0.002697452229299363</v>
      </c>
      <c r="S22" s="31">
        <f>0.85*D1</f>
        <v>13.228124999999999</v>
      </c>
      <c r="T22" s="39">
        <f>D8</f>
        <v>326.0869565217392</v>
      </c>
      <c r="U22" s="39">
        <f>MAX(R22*D31,-D5)</f>
        <v>-326.0869565217392</v>
      </c>
      <c r="V22" s="45">
        <f>(S22*D52*0.8*O22)-((D38*T22)+(D36*U22))</f>
        <v>581508.3749999999</v>
      </c>
      <c r="W22" s="45">
        <f>((S22*D52*0.8*O22)*((0.5*(D46+D40))-(0.4*O22)))+(((D38*T22)-(D36*U22))*0.5*(D46-D43))</f>
        <v>122174804.8923913</v>
      </c>
      <c r="X22" s="18">
        <f t="shared" si="0"/>
        <v>581.5083749999999</v>
      </c>
      <c r="Y22" s="19">
        <f t="shared" si="1"/>
        <v>122.1748048923913</v>
      </c>
    </row>
    <row r="23" spans="1:25" ht="12.75">
      <c r="A23" s="177"/>
      <c r="B23" s="139"/>
      <c r="C23" s="165"/>
      <c r="D23" s="174"/>
      <c r="E23" s="100"/>
      <c r="F23" s="100"/>
      <c r="G23" s="100"/>
      <c r="H23" s="100"/>
      <c r="I23" s="100"/>
      <c r="J23" s="100"/>
      <c r="K23" s="100"/>
      <c r="M23" s="120"/>
      <c r="N23" s="2">
        <v>0.55</v>
      </c>
      <c r="O23" s="39">
        <f>N23*D46</f>
        <v>172.70000000000002</v>
      </c>
      <c r="P23" s="38">
        <f>D13</f>
        <v>0.0035</v>
      </c>
      <c r="Q23" s="34">
        <f>P23*(D46-O23)/O23</f>
        <v>0.002863636363636363</v>
      </c>
      <c r="R23" s="34">
        <f>P23*(D43-O23)/O23</f>
        <v>-0.0027704111175448753</v>
      </c>
      <c r="S23" s="31">
        <f>0.85*D1</f>
        <v>13.228124999999999</v>
      </c>
      <c r="T23" s="39">
        <f>D8</f>
        <v>326.0869565217392</v>
      </c>
      <c r="U23" s="39">
        <f>MAX(R23*D31,-D5)</f>
        <v>-326.0869565217392</v>
      </c>
      <c r="V23" s="45">
        <f>(S23*D52*0.8*O23)-((D38*T23)+(D36*U23))</f>
        <v>639659.2125</v>
      </c>
      <c r="W23" s="45">
        <f>((S23*D52*0.8*O23)*((0.5*(D46+D40))-(0.4*O23)))+(((D38*T23)-(D36*U23))*0.5*(D46-D43))</f>
        <v>124682269.0053913</v>
      </c>
      <c r="X23" s="18">
        <f t="shared" si="0"/>
        <v>639.6592125</v>
      </c>
      <c r="Y23" s="19">
        <f t="shared" si="1"/>
        <v>124.6822690053913</v>
      </c>
    </row>
    <row r="24" spans="1:25" ht="12.75">
      <c r="A24" s="177"/>
      <c r="B24" s="139"/>
      <c r="C24" s="166"/>
      <c r="D24" s="175"/>
      <c r="E24" s="100"/>
      <c r="F24" s="100"/>
      <c r="G24" s="100"/>
      <c r="H24" s="100"/>
      <c r="I24" s="100"/>
      <c r="J24" s="100"/>
      <c r="K24" s="100"/>
      <c r="M24" s="120"/>
      <c r="N24" s="8">
        <v>0.6</v>
      </c>
      <c r="O24" s="39">
        <f>N24*D46</f>
        <v>188.4</v>
      </c>
      <c r="P24" s="38">
        <f>D13</f>
        <v>0.0035</v>
      </c>
      <c r="Q24" s="34">
        <f>P24*(D46-O24)/O24</f>
        <v>0.002333333333333333</v>
      </c>
      <c r="R24" s="34">
        <f>P24*(D43-O24)/O24</f>
        <v>-0.0028312101910828026</v>
      </c>
      <c r="S24" s="31">
        <f>0.85*D1</f>
        <v>13.228124999999999</v>
      </c>
      <c r="T24" s="39">
        <f>D8</f>
        <v>326.0869565217392</v>
      </c>
      <c r="U24" s="39">
        <f>MAX(R24*D31,-D5)</f>
        <v>-326.0869565217392</v>
      </c>
      <c r="V24" s="45">
        <f>(S24*D52*0.8*O24)-((D38*T24)+(D36*U24))</f>
        <v>697810.0499999999</v>
      </c>
      <c r="W24" s="45">
        <f>((S24*D52*0.8*O24)*((0.5*(D46+D40))-(0.4*O24)))+(((D38*T24)-(D36*U24))*0.5*(D46-D43))</f>
        <v>126459358.59939131</v>
      </c>
      <c r="X24" s="18">
        <f t="shared" si="0"/>
        <v>697.8100499999999</v>
      </c>
      <c r="Y24" s="19">
        <f t="shared" si="1"/>
        <v>126.45935859939131</v>
      </c>
    </row>
    <row r="25" spans="1:25" ht="12.75">
      <c r="A25" s="177"/>
      <c r="B25" s="139"/>
      <c r="C25" s="164" t="s">
        <v>28</v>
      </c>
      <c r="D25" s="179">
        <v>0.01</v>
      </c>
      <c r="E25" s="100"/>
      <c r="F25" s="100"/>
      <c r="G25" s="100"/>
      <c r="H25" s="100"/>
      <c r="I25" s="100"/>
      <c r="J25" s="100"/>
      <c r="K25" s="100"/>
      <c r="M25" s="120"/>
      <c r="N25" s="2">
        <v>0.65</v>
      </c>
      <c r="O25" s="39">
        <f>N25*D46</f>
        <v>204.1</v>
      </c>
      <c r="P25" s="38">
        <f>D13</f>
        <v>0.0035</v>
      </c>
      <c r="Q25" s="34">
        <f>P25*(D46-O25)/O25</f>
        <v>0.001884615384615385</v>
      </c>
      <c r="R25" s="34">
        <f>P25*(D43-O25)/O25</f>
        <v>-0.0028826555609995103</v>
      </c>
      <c r="S25" s="31">
        <f>0.85*D1</f>
        <v>13.228124999999999</v>
      </c>
      <c r="T25" s="39">
        <f>D8</f>
        <v>326.0869565217392</v>
      </c>
      <c r="U25" s="39">
        <f>MAX(R25*D31,-D5)</f>
        <v>-326.0869565217392</v>
      </c>
      <c r="V25" s="45">
        <f>(S25*D52*0.8*O25)-((D38*T25)+(D36*U25))</f>
        <v>755960.8874999998</v>
      </c>
      <c r="W25" s="45">
        <f>((S25*D52*0.8*O25)*((0.5*(D46+D40))-(0.4*O25)))+(((D38*T25)-(D36*U25))*0.5*(D46-D43))</f>
        <v>127506073.6743913</v>
      </c>
      <c r="X25" s="18">
        <f t="shared" si="0"/>
        <v>755.9608874999998</v>
      </c>
      <c r="Y25" s="19">
        <f t="shared" si="1"/>
        <v>127.5060736743913</v>
      </c>
    </row>
    <row r="26" spans="1:25" ht="12.75">
      <c r="A26" s="177"/>
      <c r="B26" s="139"/>
      <c r="C26" s="165"/>
      <c r="D26" s="174"/>
      <c r="E26" s="100"/>
      <c r="F26" s="100"/>
      <c r="G26" s="100"/>
      <c r="H26" s="100"/>
      <c r="I26" s="100"/>
      <c r="J26" s="100"/>
      <c r="K26" s="100"/>
      <c r="M26" s="11"/>
      <c r="N26" s="14">
        <f>1/(1+D28/D13)</f>
        <v>0.6885770045260142</v>
      </c>
      <c r="O26" s="15">
        <f>N26*D46</f>
        <v>216.21317942116846</v>
      </c>
      <c r="P26" s="46">
        <f>D13</f>
        <v>0.0035</v>
      </c>
      <c r="Q26" s="61">
        <f>P26*(D46-O26)/O26</f>
        <v>0.0015829463908822287</v>
      </c>
      <c r="R26" s="35">
        <f>P26*(D43-O26)/O26</f>
        <v>-0.0029172418150580884</v>
      </c>
      <c r="S26" s="15">
        <f>0.85*D1</f>
        <v>13.228124999999999</v>
      </c>
      <c r="T26" s="15">
        <f>Q26*D31</f>
        <v>326.0869565217391</v>
      </c>
      <c r="U26" s="15">
        <f>MAX(R26*D31,-D5)</f>
        <v>-326.0869565217392</v>
      </c>
      <c r="V26" s="37">
        <f>(S26*D52*0.8*O26)-((D38*T26)+(D36*U26))</f>
        <v>800826.5899285802</v>
      </c>
      <c r="W26" s="37">
        <f>((S26*D52*0.8*O26)*((0.5*(D46+D40))-(0.4*O26)))+(((D38*T26)-(D36*U26))*0.5*(D46-D43))</f>
        <v>127814513.1855046</v>
      </c>
      <c r="X26" s="20">
        <f t="shared" si="0"/>
        <v>800.8265899285802</v>
      </c>
      <c r="Y26" s="21">
        <f t="shared" si="1"/>
        <v>127.8145131855046</v>
      </c>
    </row>
    <row r="27" spans="1:25" ht="12.75">
      <c r="A27" s="177"/>
      <c r="B27" s="139"/>
      <c r="C27" s="166"/>
      <c r="D27" s="175"/>
      <c r="E27" s="100"/>
      <c r="F27" s="100"/>
      <c r="G27" s="100"/>
      <c r="H27" s="100"/>
      <c r="I27" s="100"/>
      <c r="J27" s="100"/>
      <c r="K27" s="100"/>
      <c r="M27" s="120">
        <v>4</v>
      </c>
      <c r="N27" s="8">
        <v>0.7</v>
      </c>
      <c r="O27" s="39">
        <f>N27*D46</f>
        <v>219.79999999999998</v>
      </c>
      <c r="P27" s="38">
        <f>D13</f>
        <v>0.0035</v>
      </c>
      <c r="Q27" s="34">
        <f>P27*(D46-O27)/O27</f>
        <v>0.0015000000000000002</v>
      </c>
      <c r="R27" s="34">
        <f>P27*(D43-O27)/O27</f>
        <v>-0.002926751592356688</v>
      </c>
      <c r="S27" s="31">
        <f>0.85*D1</f>
        <v>13.228124999999999</v>
      </c>
      <c r="T27" s="31">
        <f>Q27*D31</f>
        <v>309.00000000000006</v>
      </c>
      <c r="U27" s="39">
        <f>MAX(R27*D31,-D5)</f>
        <v>-326.0869565217392</v>
      </c>
      <c r="V27" s="45">
        <f>(S27*D52*0.8*O27)-((D38*T27)+(D36*U27))</f>
        <v>824842.3336956521</v>
      </c>
      <c r="W27" s="45">
        <f>((S27*D52*0.8*O27)*((0.5*(D46+D40))-(0.4*O27)))+(((D38*T27)-(D36*U27))*0.5*(D46-D43))</f>
        <v>126330859.62169564</v>
      </c>
      <c r="X27" s="18">
        <f t="shared" si="0"/>
        <v>824.8423336956521</v>
      </c>
      <c r="Y27" s="19">
        <f t="shared" si="1"/>
        <v>126.33085962169564</v>
      </c>
    </row>
    <row r="28" spans="1:25" ht="12.75">
      <c r="A28" s="177"/>
      <c r="B28" s="139"/>
      <c r="C28" s="164" t="s">
        <v>29</v>
      </c>
      <c r="D28" s="179">
        <f>D8/D31</f>
        <v>0.001582946390882229</v>
      </c>
      <c r="E28" s="100"/>
      <c r="F28" s="100"/>
      <c r="G28" s="100"/>
      <c r="H28" s="100"/>
      <c r="I28" s="100"/>
      <c r="J28" s="100"/>
      <c r="K28" s="100"/>
      <c r="M28" s="120"/>
      <c r="N28" s="2">
        <v>0.75</v>
      </c>
      <c r="O28" s="39">
        <f>N28*D46</f>
        <v>235.5</v>
      </c>
      <c r="P28" s="38">
        <f>D13</f>
        <v>0.0035</v>
      </c>
      <c r="Q28" s="34">
        <f>P28*(D46-O28)/O28</f>
        <v>0.0011666666666666665</v>
      </c>
      <c r="R28" s="34">
        <f>P28*(D43-O28)/O28</f>
        <v>-0.0029649681528662424</v>
      </c>
      <c r="S28" s="31">
        <f>0.85*D1</f>
        <v>13.228124999999999</v>
      </c>
      <c r="T28" s="31">
        <f>Q28*D31</f>
        <v>240.33333333333331</v>
      </c>
      <c r="U28" s="39">
        <f>MAX(R28*D31,-D5)</f>
        <v>-326.0869565217392</v>
      </c>
      <c r="V28" s="45">
        <f>(S28*D52*0.8*O28)-((D38*T28)+(D36*U28))</f>
        <v>926115.8378623188</v>
      </c>
      <c r="W28" s="45">
        <f>((S28*D52*0.8*O28)*((0.5*(D46+D40))-(0.4*O28)))+(((D38*T28)-(D36*U28))*0.5*(D46-D43))</f>
        <v>119922774.99202898</v>
      </c>
      <c r="X28" s="18">
        <f t="shared" si="0"/>
        <v>926.1158378623188</v>
      </c>
      <c r="Y28" s="19">
        <f t="shared" si="1"/>
        <v>119.92277499202898</v>
      </c>
    </row>
    <row r="29" spans="1:25" ht="12.75">
      <c r="A29" s="177"/>
      <c r="B29" s="139"/>
      <c r="C29" s="165"/>
      <c r="D29" s="174"/>
      <c r="E29" s="100"/>
      <c r="F29" s="100"/>
      <c r="G29" s="99"/>
      <c r="H29" s="99"/>
      <c r="I29" s="99"/>
      <c r="J29" s="100"/>
      <c r="K29" s="100"/>
      <c r="M29" s="120"/>
      <c r="N29" s="8">
        <v>0.8</v>
      </c>
      <c r="O29" s="39">
        <f>N29*D46</f>
        <v>251.20000000000002</v>
      </c>
      <c r="P29" s="38">
        <f>D13</f>
        <v>0.0035</v>
      </c>
      <c r="Q29" s="34">
        <f>P29*(D46-O29)/O29</f>
        <v>0.0008749999999999997</v>
      </c>
      <c r="R29" s="34">
        <f>P29*(D43-O29)/O29</f>
        <v>-0.002998407643312102</v>
      </c>
      <c r="S29" s="31">
        <f>0.85*D1</f>
        <v>13.228124999999999</v>
      </c>
      <c r="T29" s="31">
        <f>Q29*D31</f>
        <v>180.24999999999994</v>
      </c>
      <c r="U29" s="39">
        <f>MAX(R29*D31,-D5)</f>
        <v>-326.0869565217392</v>
      </c>
      <c r="V29" s="45">
        <f>(S29*D52*0.8*O29)-((D38*T29)+(D36*U29))</f>
        <v>1021999.0086956521</v>
      </c>
      <c r="W29" s="45">
        <f>((S29*D52*0.8*O29)*((0.5*(D46+D40))-(0.4*O29)))+(((D38*T29)-(D36*U29))*0.5*(D46-D43))</f>
        <v>113533572.17669563</v>
      </c>
      <c r="X29" s="18">
        <f t="shared" si="0"/>
        <v>1021.9990086956522</v>
      </c>
      <c r="Y29" s="19">
        <f t="shared" si="1"/>
        <v>113.53357217669563</v>
      </c>
    </row>
    <row r="30" spans="1:25" ht="12.75">
      <c r="A30" s="177"/>
      <c r="B30" s="156"/>
      <c r="C30" s="166"/>
      <c r="D30" s="175"/>
      <c r="E30" s="100"/>
      <c r="F30" s="100"/>
      <c r="G30" s="99"/>
      <c r="H30" s="99"/>
      <c r="I30" s="99"/>
      <c r="J30" s="100"/>
      <c r="K30" s="100"/>
      <c r="M30" s="120"/>
      <c r="N30" s="2">
        <v>0.85</v>
      </c>
      <c r="O30" s="39">
        <f>N30*D46</f>
        <v>266.9</v>
      </c>
      <c r="P30" s="38">
        <f>D13</f>
        <v>0.0035</v>
      </c>
      <c r="Q30" s="34">
        <f>P30*(D46-O30)/O30</f>
        <v>0.0006176470588235297</v>
      </c>
      <c r="R30" s="34">
        <f>P30*(D43-O30)/O30</f>
        <v>-0.0030279130760584487</v>
      </c>
      <c r="S30" s="31">
        <f>0.85*D1</f>
        <v>13.228124999999999</v>
      </c>
      <c r="T30" s="31">
        <f>Q30*D31</f>
        <v>127.23529411764713</v>
      </c>
      <c r="U30" s="39">
        <f>MAX(R30*D31,-D5)</f>
        <v>-326.0869565217392</v>
      </c>
      <c r="V30" s="45">
        <f>(S30*D52*0.8*O30)-((D38*T30)+(D36*U30))</f>
        <v>1113443.0814897697</v>
      </c>
      <c r="W30" s="45">
        <f>((S30*D52*0.8*O30)*((0.5*(D46+D40))-(0.4*O30)))+(((D38*T30)-(D36*U30))*0.5*(D46-D43))</f>
        <v>107031029.46981332</v>
      </c>
      <c r="X30" s="18">
        <f t="shared" si="0"/>
        <v>1113.4430814897698</v>
      </c>
      <c r="Y30" s="19">
        <f t="shared" si="1"/>
        <v>107.03102946981332</v>
      </c>
    </row>
    <row r="31" spans="1:25" ht="12.75">
      <c r="A31" s="177"/>
      <c r="B31" s="138" t="s">
        <v>17</v>
      </c>
      <c r="C31" s="197" t="s">
        <v>30</v>
      </c>
      <c r="D31" s="162">
        <v>206000</v>
      </c>
      <c r="E31" s="99"/>
      <c r="F31" s="99"/>
      <c r="G31" s="99"/>
      <c r="H31" s="99"/>
      <c r="I31" s="99"/>
      <c r="J31" s="99"/>
      <c r="K31" s="99"/>
      <c r="M31" s="120"/>
      <c r="N31" s="8">
        <v>0.9</v>
      </c>
      <c r="O31" s="39">
        <f>N31*D46</f>
        <v>282.6</v>
      </c>
      <c r="P31" s="38">
        <f>D13</f>
        <v>0.0035</v>
      </c>
      <c r="Q31" s="34">
        <f>P31*(D46-O31)/O31</f>
        <v>0.0003888888888888886</v>
      </c>
      <c r="R31" s="34">
        <f>P31*(D43-O31)/O31</f>
        <v>-0.003054140127388535</v>
      </c>
      <c r="S31" s="31">
        <f>0.85*D1</f>
        <v>13.228124999999999</v>
      </c>
      <c r="T31" s="31">
        <f>Q31*D31</f>
        <v>80.11111111111106</v>
      </c>
      <c r="U31" s="39">
        <f>MAX(R31*D31,-D5)</f>
        <v>-326.0869565217392</v>
      </c>
      <c r="V31" s="45">
        <f>(S31*D52*0.8*O31)-((D38*T31)+(D36*U31))</f>
        <v>1201187.9059178745</v>
      </c>
      <c r="W31" s="45">
        <f>((S31*D52*0.8*O31)*((0.5*(D46+D40))-(0.4*O31)))+(((D38*T31)-(D36*U31))*0.5*(D46-D43))</f>
        <v>100312307.76680675</v>
      </c>
      <c r="X31" s="18">
        <f t="shared" si="0"/>
        <v>1201.1879059178746</v>
      </c>
      <c r="Y31" s="19">
        <f t="shared" si="1"/>
        <v>100.31230776680675</v>
      </c>
    </row>
    <row r="32" spans="1:25" ht="12.75">
      <c r="A32" s="177"/>
      <c r="B32" s="139"/>
      <c r="C32" s="198"/>
      <c r="D32" s="182"/>
      <c r="E32" s="99"/>
      <c r="F32" s="99"/>
      <c r="G32" s="99"/>
      <c r="H32" s="99"/>
      <c r="I32" s="99"/>
      <c r="J32" s="99"/>
      <c r="K32" s="99"/>
      <c r="M32" s="120"/>
      <c r="N32" s="2">
        <v>0.95</v>
      </c>
      <c r="O32" s="39">
        <f>N32*D46</f>
        <v>298.3</v>
      </c>
      <c r="P32" s="38">
        <f>D13</f>
        <v>0.0035</v>
      </c>
      <c r="Q32" s="34">
        <f>P32*(D46-O32)/O32</f>
        <v>0.00018421052631578934</v>
      </c>
      <c r="R32" s="34">
        <f>P32*(D43-O32)/O32</f>
        <v>-0.003077606436473349</v>
      </c>
      <c r="S32" s="31">
        <f>0.85*D1</f>
        <v>13.228124999999999</v>
      </c>
      <c r="T32" s="31">
        <f>Q32*D31</f>
        <v>37.9473684210526</v>
      </c>
      <c r="U32" s="39">
        <f>MAX(R32*D31,-D5)</f>
        <v>-326.0869565217392</v>
      </c>
      <c r="V32" s="45">
        <f>(S32*D52*0.8*O32)-((D38*T32)+(D36*U32))</f>
        <v>1285817.573827231</v>
      </c>
      <c r="W32" s="45">
        <f>((S32*D52*0.8*O32)*((0.5*(D46+D40))-(0.4*O32)))+(((D38*T32)-(D36*U32))*0.5*(D46-D43))</f>
        <v>93296218.30090617</v>
      </c>
      <c r="X32" s="18">
        <f t="shared" si="0"/>
        <v>1285.8175738272312</v>
      </c>
      <c r="Y32" s="19">
        <f t="shared" si="1"/>
        <v>93.29621830090616</v>
      </c>
    </row>
    <row r="33" spans="1:25" ht="12.75">
      <c r="A33" s="177"/>
      <c r="B33" s="139"/>
      <c r="C33" s="198"/>
      <c r="D33" s="182"/>
      <c r="E33" s="99"/>
      <c r="F33" s="99"/>
      <c r="G33" s="99"/>
      <c r="H33" s="99"/>
      <c r="I33" s="99"/>
      <c r="J33" s="99"/>
      <c r="K33" s="99"/>
      <c r="M33" s="11"/>
      <c r="N33" s="108">
        <f>O33/D46</f>
        <v>1</v>
      </c>
      <c r="O33" s="15">
        <f>D46</f>
        <v>314</v>
      </c>
      <c r="P33" s="46">
        <f>D13</f>
        <v>0.0035</v>
      </c>
      <c r="Q33" s="62">
        <f>P33*(D46-O33)/O33</f>
        <v>0</v>
      </c>
      <c r="R33" s="35">
        <f>P33*(D43-O33)/O33</f>
        <v>-0.0030987261146496812</v>
      </c>
      <c r="S33" s="15">
        <f>0.85*D1</f>
        <v>13.228124999999999</v>
      </c>
      <c r="T33" s="15">
        <f>Q33*D31</f>
        <v>0</v>
      </c>
      <c r="U33" s="15">
        <f>MAX(R33*D31,-D5)</f>
        <v>-326.0869565217392</v>
      </c>
      <c r="V33" s="37">
        <f>(S33*D52*(MIN(D49,0.8*O33))-((D38*T33)+(D36*U33)))</f>
        <v>1367799.3586956519</v>
      </c>
      <c r="W33" s="37">
        <f>((S33*D52*(MIN(D49,0.8*O33))*((0.5*(D46+D40))-(MIN(D49/2,0.4*O33)))+(((D38*T33)-(D36*U33))*0.5*(D46-D43))))</f>
        <v>85917810.05869564</v>
      </c>
      <c r="X33" s="20">
        <f t="shared" si="0"/>
        <v>1367.7993586956518</v>
      </c>
      <c r="Y33" s="21">
        <f t="shared" si="1"/>
        <v>85.91781005869565</v>
      </c>
    </row>
    <row r="34" spans="1:25" ht="12.75">
      <c r="A34" s="177"/>
      <c r="B34" s="139"/>
      <c r="C34" s="198"/>
      <c r="D34" s="182"/>
      <c r="E34" s="99"/>
      <c r="F34" s="99"/>
      <c r="G34" s="99"/>
      <c r="H34" s="99"/>
      <c r="I34" s="99"/>
      <c r="J34" s="99"/>
      <c r="K34" s="99"/>
      <c r="M34" s="120">
        <v>5</v>
      </c>
      <c r="N34" s="2">
        <v>1.05</v>
      </c>
      <c r="O34" s="31">
        <f>N34*D46</f>
        <v>329.7</v>
      </c>
      <c r="P34" s="47">
        <f>D13</f>
        <v>0.0035</v>
      </c>
      <c r="Q34" s="48">
        <f>P34*(D46-O34)/O34</f>
        <v>-0.00016666666666666655</v>
      </c>
      <c r="R34" s="48">
        <f>P34*(D43-O34)/O34</f>
        <v>-0.0031178343949044584</v>
      </c>
      <c r="S34" s="39">
        <f>0.85*D1</f>
        <v>13.228124999999999</v>
      </c>
      <c r="T34" s="39">
        <f>Q34*D31</f>
        <v>-34.33333333333331</v>
      </c>
      <c r="U34" s="39">
        <f>MAX(R34*D31,-D5)</f>
        <v>-326.0869565217392</v>
      </c>
      <c r="V34" s="45">
        <f>(S34*D52*(MIN(D49,0.8*O34))-((D38*T34)+(D36*U34)))</f>
        <v>1447511.5295289853</v>
      </c>
      <c r="W34" s="45">
        <f>((S34*D52*(MIN(D49,0.8*O34))*((0.5*(D46+D40))-(MIN(D49/2,0.4*O34)))+(((D38*T34)-(D36*U34))*0.5*(D46-D43))))</f>
        <v>78124503.64836231</v>
      </c>
      <c r="X34" s="18">
        <f t="shared" si="0"/>
        <v>1447.5115295289852</v>
      </c>
      <c r="Y34" s="19">
        <f t="shared" si="1"/>
        <v>78.1245036483623</v>
      </c>
    </row>
    <row r="35" spans="1:25" ht="13.5" thickBot="1">
      <c r="A35" s="178"/>
      <c r="B35" s="140"/>
      <c r="C35" s="199"/>
      <c r="D35" s="183"/>
      <c r="E35" s="99"/>
      <c r="F35" s="99"/>
      <c r="G35" s="99"/>
      <c r="H35" s="99"/>
      <c r="I35" s="99"/>
      <c r="J35" s="99"/>
      <c r="K35" s="99"/>
      <c r="M35" s="120"/>
      <c r="N35" s="9">
        <v>1.1</v>
      </c>
      <c r="O35" s="39">
        <f>N35*D46</f>
        <v>345.40000000000003</v>
      </c>
      <c r="P35" s="47">
        <f>D13</f>
        <v>0.0035</v>
      </c>
      <c r="Q35" s="48">
        <f>P35*(D46-O35)/O35</f>
        <v>-0.00031818181818181853</v>
      </c>
      <c r="R35" s="48">
        <f>P35*(D43-O35)/O35</f>
        <v>-0.003135205558772438</v>
      </c>
      <c r="S35" s="39">
        <f>0.85*D1</f>
        <v>13.228124999999999</v>
      </c>
      <c r="T35" s="39">
        <f>Q35*D31</f>
        <v>-65.54545454545462</v>
      </c>
      <c r="U35" s="39">
        <f>MAX(R35*D31,-D5)</f>
        <v>-326.0869565217392</v>
      </c>
      <c r="V35" s="45">
        <f>(S35*D52*(MIN(D49,0.8*O35))-((D38*T35)+(D36*U35)))</f>
        <v>1525263.5791501978</v>
      </c>
      <c r="W35" s="45">
        <f>((S35*D52*(MIN(D49,0.8*O35))*((0.5*(D46+D40))-(MIN(D49/2,0.4*O35)))+(((D38*T35)-(D36*U35))*0.5*(D46-D43))))</f>
        <v>69873279.56751381</v>
      </c>
      <c r="X35" s="52">
        <f t="shared" si="0"/>
        <v>1525.2635791501978</v>
      </c>
      <c r="Y35" s="60">
        <f t="shared" si="1"/>
        <v>69.8732795675138</v>
      </c>
    </row>
    <row r="36" spans="1:25" ht="12.75">
      <c r="A36" s="176" t="s">
        <v>6</v>
      </c>
      <c r="B36" s="143" t="s">
        <v>31</v>
      </c>
      <c r="C36" s="143" t="s">
        <v>18</v>
      </c>
      <c r="D36" s="193">
        <v>628</v>
      </c>
      <c r="E36" s="99"/>
      <c r="F36" s="99"/>
      <c r="G36" s="99"/>
      <c r="H36" s="99"/>
      <c r="I36" s="99"/>
      <c r="J36" s="99"/>
      <c r="K36" s="99"/>
      <c r="M36" s="109"/>
      <c r="N36" s="14">
        <f>O36/D46</f>
        <v>1.1146496815286624</v>
      </c>
      <c r="O36" s="110">
        <f>D49</f>
        <v>350</v>
      </c>
      <c r="P36" s="81">
        <f>D16*O36/(O36-((3/7)*D49))</f>
        <v>0.0035000000000000005</v>
      </c>
      <c r="Q36" s="35">
        <f>-(D16-((D46-((3/7)*D49))*(P36-D16)/((3/7)*D49)))</f>
        <v>-0.0003599999999999994</v>
      </c>
      <c r="R36" s="35">
        <f>-(((P36-D16)*(((3/7)*D49)-D43)/((3/7)*D49))+D16)</f>
        <v>-0.0031400000000000004</v>
      </c>
      <c r="S36" s="15">
        <f>0.85*D1</f>
        <v>13.228124999999999</v>
      </c>
      <c r="T36" s="15">
        <f>MAX(Q36*D31,-D8)</f>
        <v>-74.15999999999988</v>
      </c>
      <c r="U36" s="15">
        <f>MAX(R36*D31,-D5)</f>
        <v>-326.0869565217392</v>
      </c>
      <c r="V36" s="37">
        <f>(S36*D52*(MIN(D49,0.8*O36))-((D38*T36)+(D36*U36)))</f>
        <v>1547711.3386956519</v>
      </c>
      <c r="W36" s="37">
        <f>((S36*D52*(MIN(D49,0.8*O36))*((0.5*(D46+D40))-(MIN(D49/2,0.4*O36)))+(((D38*T36)-(D36*U36))*0.5*(D46-D43))))</f>
        <v>67363676.63869566</v>
      </c>
      <c r="X36" s="20">
        <f t="shared" si="0"/>
        <v>1547.7113386956519</v>
      </c>
      <c r="Y36" s="21">
        <f t="shared" si="1"/>
        <v>67.36367663869565</v>
      </c>
    </row>
    <row r="37" spans="1:25" ht="12.75">
      <c r="A37" s="187"/>
      <c r="B37" s="158"/>
      <c r="C37" s="144"/>
      <c r="D37" s="191"/>
      <c r="E37" s="99"/>
      <c r="F37" s="99"/>
      <c r="G37" s="99"/>
      <c r="H37" s="99"/>
      <c r="I37" s="99"/>
      <c r="J37" s="99"/>
      <c r="K37" s="99"/>
      <c r="M37" s="120">
        <v>6</v>
      </c>
      <c r="N37" s="8">
        <v>1.2</v>
      </c>
      <c r="O37" s="71">
        <f>N37*D46</f>
        <v>376.8</v>
      </c>
      <c r="P37" s="34">
        <f>D16*O37/(O37-((3/7)*D49))</f>
        <v>0.0033227513227513227</v>
      </c>
      <c r="Q37" s="34">
        <f>-(D16-((D46-((3/7)*D49))*(P37-D16)/((3/7)*D49)))</f>
        <v>-0.0005537918871252206</v>
      </c>
      <c r="R37" s="34">
        <f>-(((P37-D16)*(((3/7)*D49)-D43)/((3/7)*D49))+D16)</f>
        <v>-0.0030052910052910053</v>
      </c>
      <c r="S37" s="39">
        <f>0.85*D1</f>
        <v>13.228124999999999</v>
      </c>
      <c r="T37" s="31">
        <f>MAX(Q37*D31,-D8)</f>
        <v>-114.08112874779545</v>
      </c>
      <c r="U37" s="39">
        <f>MAX(R37*D31,-D5)</f>
        <v>-326.0869565217392</v>
      </c>
      <c r="V37" s="45">
        <f>(S37*D52*(MIN(D49,0.8*O37))-((D38*T37)+(D36*U37)))</f>
        <v>1672045.6575492674</v>
      </c>
      <c r="W37" s="45">
        <f>((S37*D52*(MIN(D49,0.8*O37))*((0.5*(D46+D40))-(MIN(D49/2,0.4*O37)))+(((D38*T37)-(D36*U37))*0.5*(D46-D43))))</f>
        <v>52392068.746043086</v>
      </c>
      <c r="X37" s="18">
        <f t="shared" si="0"/>
        <v>1672.0456575492674</v>
      </c>
      <c r="Y37" s="19">
        <f t="shared" si="1"/>
        <v>52.39206874604309</v>
      </c>
    </row>
    <row r="38" spans="1:25" ht="12.75">
      <c r="A38" s="187"/>
      <c r="B38" s="158"/>
      <c r="C38" s="158" t="s">
        <v>2</v>
      </c>
      <c r="D38" s="182">
        <v>628</v>
      </c>
      <c r="E38" s="99"/>
      <c r="F38" s="99"/>
      <c r="G38" s="99"/>
      <c r="H38" s="99"/>
      <c r="I38" s="99"/>
      <c r="J38" s="99"/>
      <c r="K38" s="99"/>
      <c r="M38" s="120"/>
      <c r="N38" s="8">
        <v>1.3</v>
      </c>
      <c r="O38" s="71">
        <f>N38*D46</f>
        <v>408.2</v>
      </c>
      <c r="P38" s="34">
        <f>D16*O38/(O38-((3/7)*D49))</f>
        <v>0.0031618900077459338</v>
      </c>
      <c r="Q38" s="34">
        <f>-(D16-((D46-((3/7)*D49))*(P38-D16)/((3/7)*D49)))</f>
        <v>-0.0007296669248644458</v>
      </c>
      <c r="R38" s="34">
        <f>-(((P38-D16)*(((3/7)*D49)-D43)/((3/7)*D49))+D16)</f>
        <v>-0.0028830364058869094</v>
      </c>
      <c r="S38" s="39">
        <f>0.85*D1</f>
        <v>13.228124999999999</v>
      </c>
      <c r="T38" s="31">
        <f>MAX(Q38*D31,-D8)</f>
        <v>-150.31138652207582</v>
      </c>
      <c r="U38" s="39">
        <f>MAX(R38*D31,-D5)</f>
        <v>-326.0869565217392</v>
      </c>
      <c r="V38" s="45">
        <f>(S38*D52*(MIN(D49,0.8*O38))-((D38*T38)+(D36*U38)))</f>
        <v>1811099.9344315156</v>
      </c>
      <c r="W38" s="45">
        <f>((S38*D52*(MIN(D49,0.8*O38))*((0.5*(D46+D40))-(MIN(D49/2,0.4*O38)))+(((D38*T38)-(D36*U38))*0.5*(D46-D43))))</f>
        <v>33063524.259410612</v>
      </c>
      <c r="X38" s="18">
        <f t="shared" si="0"/>
        <v>1811.0999344315155</v>
      </c>
      <c r="Y38" s="19">
        <f t="shared" si="1"/>
        <v>33.06352425941061</v>
      </c>
    </row>
    <row r="39" spans="1:25" ht="13.5" thickBot="1">
      <c r="A39" s="187"/>
      <c r="B39" s="194"/>
      <c r="C39" s="194"/>
      <c r="D39" s="163"/>
      <c r="E39" s="99"/>
      <c r="F39" s="99"/>
      <c r="G39" s="99"/>
      <c r="H39" s="99"/>
      <c r="I39" s="99"/>
      <c r="J39" s="99"/>
      <c r="K39" s="99"/>
      <c r="M39" s="120"/>
      <c r="N39" s="49">
        <f>O39/D46</f>
        <v>1.393312101910828</v>
      </c>
      <c r="O39" s="111">
        <f>D49/0.8</f>
        <v>437.5</v>
      </c>
      <c r="P39" s="40">
        <f>D16*O39/(O39-((3/7)*D49))</f>
        <v>0.003043478260869565</v>
      </c>
      <c r="Q39" s="40">
        <f>-(D16-((D46-((3/7)*D49))*(P39-D16)/((3/7)*D49)))</f>
        <v>-0.0008591304347826088</v>
      </c>
      <c r="R39" s="40">
        <f>-(((P39-D16)*(((3/7)*D49)-D43)/((3/7)*D49))+D16)</f>
        <v>-0.0027930434782608695</v>
      </c>
      <c r="S39" s="41">
        <f>0.85*D1</f>
        <v>13.228124999999999</v>
      </c>
      <c r="T39" s="41">
        <f>MAX(Q39*D31,-D8)</f>
        <v>-176.98086956521743</v>
      </c>
      <c r="U39" s="41">
        <f>MAX(R39*D31,-D5)</f>
        <v>-326.0869565217392</v>
      </c>
      <c r="V39" s="42">
        <f>(S39*D52*(MIN(D49,0.8*O39))-((D38*T39)+(D36*U39)))</f>
        <v>1936371.9072826086</v>
      </c>
      <c r="W39" s="42">
        <f>((S39*D52*(MIN(D49,0.8*O39))*((0.5*(D46+D40))-(MIN(D49/2,0.4*O39)))+(((D38*T39)-(D36*U39))*0.5*(D46-D43))))</f>
        <v>13015768.542608699</v>
      </c>
      <c r="X39" s="43">
        <f t="shared" si="0"/>
        <v>1936.3719072826086</v>
      </c>
      <c r="Y39" s="44">
        <f t="shared" si="1"/>
        <v>13.015768542608699</v>
      </c>
    </row>
    <row r="40" spans="1:25" ht="13.5" thickTop="1">
      <c r="A40" s="187"/>
      <c r="B40" s="153" t="s">
        <v>11</v>
      </c>
      <c r="C40" s="153" t="s">
        <v>32</v>
      </c>
      <c r="D40" s="192">
        <v>36</v>
      </c>
      <c r="E40" s="99"/>
      <c r="F40" s="99"/>
      <c r="G40" s="99"/>
      <c r="H40" s="99"/>
      <c r="I40" s="99"/>
      <c r="J40" s="99"/>
      <c r="K40" s="99"/>
      <c r="M40" s="120"/>
      <c r="N40" s="8">
        <v>1.5</v>
      </c>
      <c r="O40" s="71">
        <f>N40*D46</f>
        <v>471</v>
      </c>
      <c r="P40" s="34">
        <f>D16*O40/(O40-((3/7)*D49))</f>
        <v>0.0029345794392523364</v>
      </c>
      <c r="Q40" s="34">
        <f>-(D16-((D46-((3/7)*D49))*(P40-D16)/((3/7)*D49)))</f>
        <v>-0.0009781931464174457</v>
      </c>
      <c r="R40" s="34">
        <f>-(((P40-D16)*(((3/7)*D49)-D43)/((3/7)*D49))+D16)</f>
        <v>-0.0027102803738317757</v>
      </c>
      <c r="S40" s="39">
        <f>0.85*D1</f>
        <v>13.228124999999999</v>
      </c>
      <c r="T40" s="31">
        <f>MAX(Q40*D31,-D8)</f>
        <v>-201.5077881619938</v>
      </c>
      <c r="U40" s="39">
        <f>MAX(R40*D31,-D5)</f>
        <v>-326.0869565217392</v>
      </c>
      <c r="V40" s="45">
        <f>(S40*D52*(MIN(D49,0.8*O40))-((D38*T40)+(D36*U40)))</f>
        <v>1951774.8121613842</v>
      </c>
      <c r="W40" s="45">
        <f>((S40*D52*(MIN(D49,0.8*O40))*((0.5*(D46+D40))-(MIN(D49/2,0.4*O40)))+(((D38*T40)-(D36*U40))*0.5*(D46-D43))))</f>
        <v>10874764.764458897</v>
      </c>
      <c r="X40" s="18">
        <f t="shared" si="0"/>
        <v>1951.7748121613843</v>
      </c>
      <c r="Y40" s="19">
        <f t="shared" si="1"/>
        <v>10.874764764458897</v>
      </c>
    </row>
    <row r="41" spans="1:25" ht="12.75">
      <c r="A41" s="187"/>
      <c r="B41" s="154"/>
      <c r="C41" s="139"/>
      <c r="D41" s="182"/>
      <c r="E41" s="99"/>
      <c r="F41" s="99"/>
      <c r="G41" s="99"/>
      <c r="H41" s="99"/>
      <c r="I41" s="99"/>
      <c r="J41" s="99"/>
      <c r="K41" s="99"/>
      <c r="M41" s="120"/>
      <c r="N41" s="9">
        <v>2.5</v>
      </c>
      <c r="O41" s="71">
        <f>N41*D46</f>
        <v>785</v>
      </c>
      <c r="P41" s="34">
        <f>D16*O41/(O41-((3/7)*D49))</f>
        <v>0.00247244094488189</v>
      </c>
      <c r="Q41" s="34">
        <f>-(D16-((D46-((3/7)*D49))*(P41-D16)/((3/7)*D49)))</f>
        <v>-0.0014834645669291337</v>
      </c>
      <c r="R41" s="34">
        <f>-(((P41-D16)*(((3/7)*D49)-D43)/((3/7)*D49))+D16)</f>
        <v>-0.0023590551181102365</v>
      </c>
      <c r="S41" s="39">
        <f>0.85*D1</f>
        <v>13.228124999999999</v>
      </c>
      <c r="T41" s="31">
        <f>MAX(Q41*D31,-D8)</f>
        <v>-305.59370078740153</v>
      </c>
      <c r="U41" s="39">
        <f>MAX(R41*D31,-D5)</f>
        <v>-326.0869565217392</v>
      </c>
      <c r="V41" s="45">
        <f>(S41*D52*(MIN(D49,0.8*O41))-((D38*T41)+(D36*U41)))</f>
        <v>2017140.7652901402</v>
      </c>
      <c r="W41" s="45">
        <f>((S41*D52*(MIN(D49,0.8*O41))*((0.5*(D46+D40))-(MIN(D49/2,0.4*O41)))+(((D38*T41)-(D36*U41))*0.5*(D46-D43))))</f>
        <v>1788897.2795618044</v>
      </c>
      <c r="X41" s="18">
        <f t="shared" si="0"/>
        <v>2017.1407652901403</v>
      </c>
      <c r="Y41" s="19">
        <f t="shared" si="1"/>
        <v>1.7888972795618043</v>
      </c>
    </row>
    <row r="42" spans="1:25" ht="12.75">
      <c r="A42" s="187"/>
      <c r="B42" s="154"/>
      <c r="C42" s="156"/>
      <c r="D42" s="191"/>
      <c r="E42" s="99"/>
      <c r="F42" s="99"/>
      <c r="G42" s="25"/>
      <c r="H42" s="25"/>
      <c r="I42" s="25"/>
      <c r="J42" s="99"/>
      <c r="K42" s="99"/>
      <c r="M42" s="120"/>
      <c r="N42" s="51">
        <f>O42/D46</f>
        <v>2.982387374609969</v>
      </c>
      <c r="O42" s="71">
        <f>(P42*(3/7)*D49)/(P42-D16)</f>
        <v>936.4696356275302</v>
      </c>
      <c r="P42" s="34">
        <f>((-Q42*(3/7)*D49)-(D16*D46))/((3/7)*D49-D46)</f>
        <v>0.002381451471754059</v>
      </c>
      <c r="Q42" s="53">
        <f>-D28</f>
        <v>-0.001582946390882229</v>
      </c>
      <c r="R42" s="34">
        <f>-(((P42-D16)*(((3/7)*D49)-D43)/((3/7)*D49))+D16)</f>
        <v>-0.002289903118533085</v>
      </c>
      <c r="S42" s="39">
        <f>0.85*D1</f>
        <v>13.228124999999999</v>
      </c>
      <c r="T42" s="31">
        <f>MAX(Q42*D31,-D8)</f>
        <v>-326.0869565217392</v>
      </c>
      <c r="U42" s="39">
        <f>MAX(R42*D31,-D5)</f>
        <v>-326.0869565217392</v>
      </c>
      <c r="V42" s="45">
        <f>(S42*D52*(MIN(D49,0.8*O42))-((D38*T42)+(D36*U42)))</f>
        <v>2030010.5298913042</v>
      </c>
      <c r="W42" s="45">
        <f>((S42*D52*(MIN(D49,0.8*O42))*((0.5*(D46+D40))-(MIN(D49/2,0.4*O42)))+(((D38*T42)-(D36*U42))*0.5*(D46-D43))))</f>
        <v>0</v>
      </c>
      <c r="X42" s="18">
        <f t="shared" si="0"/>
        <v>2030.0105298913043</v>
      </c>
      <c r="Y42" s="19">
        <f t="shared" si="1"/>
        <v>0</v>
      </c>
    </row>
    <row r="43" spans="1:25" ht="12.75">
      <c r="A43" s="187"/>
      <c r="B43" s="154"/>
      <c r="C43" s="138" t="s">
        <v>4</v>
      </c>
      <c r="D43" s="162">
        <v>36</v>
      </c>
      <c r="E43" s="99"/>
      <c r="F43" s="99"/>
      <c r="G43" s="25"/>
      <c r="H43" s="25"/>
      <c r="I43" s="25"/>
      <c r="J43" s="99"/>
      <c r="K43" s="99"/>
      <c r="M43" s="120"/>
      <c r="N43" s="9">
        <v>3</v>
      </c>
      <c r="O43" s="71">
        <f>N43*D46</f>
        <v>942</v>
      </c>
      <c r="P43" s="34">
        <f>D16*O43/(O43-((3/7)*D49))</f>
        <v>0.002378787878787879</v>
      </c>
      <c r="Q43" s="34">
        <f>-(D16-((D46-((3/7)*D49))*(P43-D16)/((3/7)*D49)))</f>
        <v>-0.0015858585858585855</v>
      </c>
      <c r="R43" s="34">
        <f>-(((P43-D16)*((3/7)*D49-D43))/((3/7)*D49)+D16)</f>
        <v>-0.002287878787878788</v>
      </c>
      <c r="S43" s="39">
        <f>0.85*D1</f>
        <v>13.228124999999999</v>
      </c>
      <c r="T43" s="31">
        <f>MAX(Q43*D31,-D8)</f>
        <v>-326.0869565217392</v>
      </c>
      <c r="U43" s="39">
        <f>MAX(R43*D31,-D5)</f>
        <v>-326.0869565217392</v>
      </c>
      <c r="V43" s="45">
        <f>(S43*D52*(MIN(D49,0.8*O43))-((D38*T43)+(D36*U43)))</f>
        <v>2030010.5298913042</v>
      </c>
      <c r="W43" s="45">
        <f>((S43*D52*(MIN(D49,0.8*O43))*((0.5*(D46+D40))-(MIN(D49/2,0.4*O43)))+(((D38*T43)-(D36*U43))*0.5*(D46-D43))))</f>
        <v>0</v>
      </c>
      <c r="X43" s="18">
        <f>V43/1000</f>
        <v>2030.0105298913043</v>
      </c>
      <c r="Y43" s="19">
        <f>W43/POWER(1000,2)</f>
        <v>0</v>
      </c>
    </row>
    <row r="44" spans="1:25" ht="12.75">
      <c r="A44" s="187"/>
      <c r="B44" s="154"/>
      <c r="C44" s="154"/>
      <c r="D44" s="189"/>
      <c r="E44" s="25"/>
      <c r="F44" s="25"/>
      <c r="G44" s="99"/>
      <c r="H44" s="99"/>
      <c r="I44" s="99"/>
      <c r="J44" s="25"/>
      <c r="K44" s="25"/>
      <c r="M44" s="120"/>
      <c r="N44" s="9">
        <v>3.5</v>
      </c>
      <c r="O44" s="71">
        <f>N44*D46</f>
        <v>1099</v>
      </c>
      <c r="P44" s="34">
        <f>D16*O44/(O44-((3/7)*D49))</f>
        <v>0.002316122233930453</v>
      </c>
      <c r="Q44" s="34">
        <f>-(D16-((D46-((3/7)*D49))*(P44-D16)/((3/7)*D49)))</f>
        <v>-0.001654373024236038</v>
      </c>
      <c r="R44" s="34">
        <f>-(((P44-D16)*(((3/7)*D49)-D43)/((3/7)*D49))+D16)</f>
        <v>-0.0022402528977871444</v>
      </c>
      <c r="S44" s="39">
        <f>0.85*D1</f>
        <v>13.228124999999999</v>
      </c>
      <c r="T44" s="31">
        <f>MAX(Q44*D31,-D8)</f>
        <v>-326.0869565217392</v>
      </c>
      <c r="U44" s="39">
        <f>MAX(R44*D31,-D5)</f>
        <v>-326.0869565217392</v>
      </c>
      <c r="V44" s="45">
        <f>(S44*D52*(MIN(D49,0.8*O44))-((D38*T44)+(D36*U44)))</f>
        <v>2030010.5298913042</v>
      </c>
      <c r="W44" s="45">
        <f>((S44*D52*(MIN(D49,0.8*O44))*((0.5*(D46+D40))-(MIN(D49/2,0.4*O44)))+(((D38*T44)-(D36*U44))*0.5*(D46-D43))))</f>
        <v>0</v>
      </c>
      <c r="X44" s="18">
        <f t="shared" si="0"/>
        <v>2030.0105298913043</v>
      </c>
      <c r="Y44" s="19">
        <f t="shared" si="1"/>
        <v>0</v>
      </c>
    </row>
    <row r="45" spans="1:25" ht="13.5" thickBot="1">
      <c r="A45" s="187"/>
      <c r="B45" s="154"/>
      <c r="C45" s="157"/>
      <c r="D45" s="190"/>
      <c r="E45" s="25"/>
      <c r="F45" s="25"/>
      <c r="G45" s="99"/>
      <c r="H45" s="99"/>
      <c r="I45" s="99"/>
      <c r="J45" s="25"/>
      <c r="K45" s="25"/>
      <c r="M45" s="73"/>
      <c r="N45" s="74">
        <f>O45/D49</f>
        <v>2857.14</v>
      </c>
      <c r="O45" s="75">
        <v>999999</v>
      </c>
      <c r="P45" s="117">
        <f>D16*O45/(O45-((3/7)*D49))</f>
        <v>0.002000300045306841</v>
      </c>
      <c r="Q45" s="115">
        <f>-P45</f>
        <v>-0.002000300045306841</v>
      </c>
      <c r="R45" s="116">
        <f>Q45</f>
        <v>-0.002000300045306841</v>
      </c>
      <c r="S45" s="77">
        <f>0.85*D1</f>
        <v>13.228124999999999</v>
      </c>
      <c r="T45" s="77">
        <f>MAX(Q45*D31,-D8)</f>
        <v>-326.0869565217392</v>
      </c>
      <c r="U45" s="77">
        <f>MAX(R45*D31,-D8)</f>
        <v>-326.0869565217392</v>
      </c>
      <c r="V45" s="78">
        <f>(S45*D52*(MIN(D49,0.8*O45))-((D38*T45)+(D36*U45)))</f>
        <v>2030010.5298913042</v>
      </c>
      <c r="W45" s="78">
        <f>((S45*D52*(MIN(D49,0.8*O45))*((0.5*(D46+D40))-(MIN(D49/2,0.4*O45)))+(((D38*T45)-(D36*U45))*0.5*(D46-D43))))</f>
        <v>0</v>
      </c>
      <c r="X45" s="79">
        <f t="shared" si="0"/>
        <v>2030.0105298913043</v>
      </c>
      <c r="Y45" s="80">
        <f t="shared" si="1"/>
        <v>0</v>
      </c>
    </row>
    <row r="46" spans="1:25" ht="12.75">
      <c r="A46" s="187"/>
      <c r="B46" s="154"/>
      <c r="C46" s="158" t="s">
        <v>3</v>
      </c>
      <c r="D46" s="182">
        <f>D49-D40</f>
        <v>314</v>
      </c>
      <c r="E46" s="99"/>
      <c r="F46" s="99"/>
      <c r="G46" s="99"/>
      <c r="H46" s="99"/>
      <c r="I46" s="99"/>
      <c r="J46" s="99"/>
      <c r="K46" s="99"/>
      <c r="M46" s="22"/>
      <c r="Y46" s="9"/>
    </row>
    <row r="47" spans="1:25" ht="12.75">
      <c r="A47" s="187"/>
      <c r="B47" s="154"/>
      <c r="C47" s="158"/>
      <c r="D47" s="182"/>
      <c r="E47" s="99"/>
      <c r="F47" s="99"/>
      <c r="G47" s="99"/>
      <c r="H47" s="99"/>
      <c r="I47" s="99"/>
      <c r="J47" s="99"/>
      <c r="K47" s="99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9"/>
    </row>
    <row r="48" spans="1:25" ht="13.5" thickBot="1">
      <c r="A48" s="187"/>
      <c r="B48" s="154"/>
      <c r="C48" s="158"/>
      <c r="D48" s="182"/>
      <c r="E48" s="99"/>
      <c r="F48" s="99"/>
      <c r="G48" s="99"/>
      <c r="H48" s="99"/>
      <c r="I48" s="99"/>
      <c r="J48" s="99"/>
      <c r="K48" s="99"/>
      <c r="M48" s="119" t="s">
        <v>44</v>
      </c>
      <c r="N48" s="119"/>
      <c r="O48" s="119"/>
      <c r="P48" s="119"/>
      <c r="Q48" s="119"/>
      <c r="R48" s="119"/>
      <c r="S48" s="25"/>
      <c r="T48" s="25"/>
      <c r="U48" s="25"/>
      <c r="V48" s="25"/>
      <c r="W48" s="25"/>
      <c r="X48" s="64"/>
      <c r="Y48" s="9"/>
    </row>
    <row r="49" spans="1:25" ht="12.75">
      <c r="A49" s="187"/>
      <c r="B49" s="154"/>
      <c r="C49" s="159" t="s">
        <v>1</v>
      </c>
      <c r="D49" s="162">
        <v>350</v>
      </c>
      <c r="E49" s="99"/>
      <c r="F49" s="99"/>
      <c r="G49" s="99"/>
      <c r="H49" s="99"/>
      <c r="I49" s="99"/>
      <c r="J49" s="99"/>
      <c r="K49" s="99"/>
      <c r="M49" s="22"/>
      <c r="N49" s="69"/>
      <c r="O49" s="69"/>
      <c r="P49" s="25"/>
      <c r="Q49" s="25"/>
      <c r="R49" s="25"/>
      <c r="S49" s="135">
        <v>1</v>
      </c>
      <c r="T49" s="131" t="s">
        <v>42</v>
      </c>
      <c r="U49" s="132"/>
      <c r="V49" s="105">
        <f>(0.85*(0.83*D3)/(1.25*1.6))*D52*D49-(-D8*D38)-(-D5*D36)</f>
        <v>1705921.4673913047</v>
      </c>
      <c r="W49" s="76">
        <v>0</v>
      </c>
      <c r="X49" s="90">
        <f>V49/1000</f>
        <v>1705.9214673913048</v>
      </c>
      <c r="Y49" s="93">
        <f t="shared" si="1"/>
        <v>0</v>
      </c>
    </row>
    <row r="50" spans="1:25" ht="15.75">
      <c r="A50" s="187"/>
      <c r="B50" s="154"/>
      <c r="C50" s="158"/>
      <c r="D50" s="182"/>
      <c r="E50" s="99"/>
      <c r="F50" s="99"/>
      <c r="G50" s="99"/>
      <c r="H50" s="99"/>
      <c r="I50" s="99"/>
      <c r="J50" s="99"/>
      <c r="K50" s="99"/>
      <c r="M50" s="2"/>
      <c r="N50" s="2"/>
      <c r="O50" s="2"/>
      <c r="P50" s="25"/>
      <c r="Q50" s="25"/>
      <c r="R50" s="25"/>
      <c r="S50" s="136"/>
      <c r="T50" s="133" t="s">
        <v>43</v>
      </c>
      <c r="U50" s="134"/>
      <c r="V50" s="106">
        <f>V49</f>
        <v>1705921.4673913047</v>
      </c>
      <c r="W50" s="70">
        <v>110000000</v>
      </c>
      <c r="X50" s="91">
        <f>V50/1000</f>
        <v>1705.9214673913048</v>
      </c>
      <c r="Y50" s="94">
        <f t="shared" si="1"/>
        <v>110</v>
      </c>
    </row>
    <row r="51" spans="1:25" ht="12.75">
      <c r="A51" s="187"/>
      <c r="B51" s="154"/>
      <c r="C51" s="144"/>
      <c r="D51" s="191"/>
      <c r="E51" s="99"/>
      <c r="F51" s="99"/>
      <c r="G51" s="99"/>
      <c r="H51" s="99"/>
      <c r="I51" s="99"/>
      <c r="J51" s="99"/>
      <c r="K51" s="99"/>
      <c r="M51" s="2"/>
      <c r="N51" s="2"/>
      <c r="O51" s="2"/>
      <c r="P51" s="25"/>
      <c r="Q51" s="25"/>
      <c r="R51" s="25"/>
      <c r="S51" s="137">
        <v>2</v>
      </c>
      <c r="T51" s="127" t="s">
        <v>41</v>
      </c>
      <c r="U51" s="129">
        <f>MAX(D49/30,20)</f>
        <v>20</v>
      </c>
      <c r="V51" s="89">
        <v>0</v>
      </c>
      <c r="W51" s="89">
        <f>V51*U51</f>
        <v>0</v>
      </c>
      <c r="X51" s="92">
        <f>V51/1000</f>
        <v>0</v>
      </c>
      <c r="Y51" s="95">
        <f t="shared" si="1"/>
        <v>0</v>
      </c>
    </row>
    <row r="52" spans="1:25" ht="12.75">
      <c r="A52" s="187"/>
      <c r="B52" s="154"/>
      <c r="C52" s="158" t="s">
        <v>0</v>
      </c>
      <c r="D52" s="182">
        <v>350</v>
      </c>
      <c r="E52" s="99"/>
      <c r="F52" s="99"/>
      <c r="G52" s="99"/>
      <c r="H52" s="99"/>
      <c r="I52" s="99"/>
      <c r="J52" s="99"/>
      <c r="K52" s="99"/>
      <c r="M52" s="25"/>
      <c r="N52" s="25"/>
      <c r="O52" s="25"/>
      <c r="P52" s="25"/>
      <c r="Q52" s="25"/>
      <c r="R52" s="25"/>
      <c r="S52" s="136"/>
      <c r="T52" s="128"/>
      <c r="U52" s="130"/>
      <c r="V52" s="70">
        <v>2400000</v>
      </c>
      <c r="W52" s="70">
        <f>V52*U51</f>
        <v>48000000</v>
      </c>
      <c r="X52" s="91">
        <f>V52/1000</f>
        <v>2400</v>
      </c>
      <c r="Y52" s="94">
        <f t="shared" si="1"/>
        <v>48</v>
      </c>
    </row>
    <row r="53" spans="1:25" ht="15.75">
      <c r="A53" s="187"/>
      <c r="B53" s="154"/>
      <c r="C53" s="158"/>
      <c r="D53" s="182"/>
      <c r="E53" s="99"/>
      <c r="F53" s="99"/>
      <c r="J53" s="99"/>
      <c r="K53" s="99"/>
      <c r="M53" s="25"/>
      <c r="N53" s="25"/>
      <c r="O53" s="25"/>
      <c r="P53" s="25"/>
      <c r="Q53" s="25"/>
      <c r="R53" s="25"/>
      <c r="S53" s="88">
        <v>3</v>
      </c>
      <c r="T53" s="121" t="s">
        <v>45</v>
      </c>
      <c r="U53" s="122"/>
      <c r="V53" s="122"/>
      <c r="W53" s="122"/>
      <c r="X53" s="122"/>
      <c r="Y53" s="123"/>
    </row>
    <row r="54" spans="1:25" ht="13.5" thickBot="1">
      <c r="A54" s="188"/>
      <c r="B54" s="155"/>
      <c r="C54" s="195"/>
      <c r="D54" s="183"/>
      <c r="E54" s="99"/>
      <c r="F54" s="99"/>
      <c r="J54" s="99"/>
      <c r="K54" s="99"/>
      <c r="M54" s="25"/>
      <c r="N54" s="25"/>
      <c r="O54" s="25"/>
      <c r="P54" s="25"/>
      <c r="Q54" s="25"/>
      <c r="R54" s="25"/>
      <c r="S54" s="87">
        <v>4</v>
      </c>
      <c r="T54" s="124" t="s">
        <v>46</v>
      </c>
      <c r="U54" s="125"/>
      <c r="V54" s="125"/>
      <c r="W54" s="125"/>
      <c r="X54" s="125"/>
      <c r="Y54" s="126"/>
    </row>
  </sheetData>
  <mergeCells count="62">
    <mergeCell ref="T53:Y53"/>
    <mergeCell ref="T54:Y54"/>
    <mergeCell ref="T49:U49"/>
    <mergeCell ref="T50:U50"/>
    <mergeCell ref="S51:S52"/>
    <mergeCell ref="T51:T52"/>
    <mergeCell ref="U51:U52"/>
    <mergeCell ref="M48:R48"/>
    <mergeCell ref="S49:S50"/>
    <mergeCell ref="M37:M44"/>
    <mergeCell ref="C38:C39"/>
    <mergeCell ref="D38:D39"/>
    <mergeCell ref="D43:D45"/>
    <mergeCell ref="C46:C48"/>
    <mergeCell ref="D46:D48"/>
    <mergeCell ref="C49:C51"/>
    <mergeCell ref="D49:D51"/>
    <mergeCell ref="A36:A54"/>
    <mergeCell ref="B36:B39"/>
    <mergeCell ref="C36:C37"/>
    <mergeCell ref="D36:D37"/>
    <mergeCell ref="C52:C54"/>
    <mergeCell ref="D52:D54"/>
    <mergeCell ref="B40:B54"/>
    <mergeCell ref="C40:C42"/>
    <mergeCell ref="D40:D42"/>
    <mergeCell ref="C43:C45"/>
    <mergeCell ref="B31:B35"/>
    <mergeCell ref="C31:C35"/>
    <mergeCell ref="D31:D35"/>
    <mergeCell ref="M34:M35"/>
    <mergeCell ref="C25:C27"/>
    <mergeCell ref="D25:D27"/>
    <mergeCell ref="M27:M32"/>
    <mergeCell ref="C28:C30"/>
    <mergeCell ref="D28:D30"/>
    <mergeCell ref="M9:M12"/>
    <mergeCell ref="C11:C12"/>
    <mergeCell ref="D11:D12"/>
    <mergeCell ref="B13:B30"/>
    <mergeCell ref="C13:C15"/>
    <mergeCell ref="D13:D15"/>
    <mergeCell ref="M14:M16"/>
    <mergeCell ref="C16:C18"/>
    <mergeCell ref="D16:D18"/>
    <mergeCell ref="M18:M25"/>
    <mergeCell ref="G1:I1"/>
    <mergeCell ref="C3:C4"/>
    <mergeCell ref="D3:D4"/>
    <mergeCell ref="M3:M7"/>
    <mergeCell ref="C5:C7"/>
    <mergeCell ref="D5:D7"/>
    <mergeCell ref="A1:A35"/>
    <mergeCell ref="B1:B12"/>
    <mergeCell ref="C1:C2"/>
    <mergeCell ref="D1:D2"/>
    <mergeCell ref="C8:C10"/>
    <mergeCell ref="D8:D10"/>
    <mergeCell ref="C19:C21"/>
    <mergeCell ref="D19:D21"/>
    <mergeCell ref="C22:C24"/>
    <mergeCell ref="D22:D2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5"/>
  <sheetViews>
    <sheetView zoomScale="75" zoomScaleNormal="75" workbookViewId="0" topLeftCell="A1">
      <selection activeCell="D38" sqref="D38:D39"/>
    </sheetView>
  </sheetViews>
  <sheetFormatPr defaultColWidth="9.140625" defaultRowHeight="12.75"/>
  <cols>
    <col min="1" max="1" width="5.28125" style="0" bestFit="1" customWidth="1"/>
    <col min="2" max="2" width="4.28125" style="0" bestFit="1" customWidth="1"/>
    <col min="3" max="3" width="5.28125" style="0" bestFit="1" customWidth="1"/>
    <col min="4" max="4" width="4.28125" style="0" bestFit="1" customWidth="1"/>
    <col min="5" max="6" width="10.7109375" style="0" customWidth="1"/>
    <col min="7" max="9" width="12.7109375" style="0" customWidth="1"/>
    <col min="10" max="11" width="10.7109375" style="0" customWidth="1"/>
    <col min="12" max="12" width="1.7109375" style="0" customWidth="1"/>
    <col min="13" max="13" width="3.140625" style="0" bestFit="1" customWidth="1"/>
    <col min="14" max="14" width="8.140625" style="0" bestFit="1" customWidth="1"/>
    <col min="15" max="16" width="7.57421875" style="0" bestFit="1" customWidth="1"/>
    <col min="17" max="18" width="8.140625" style="0" bestFit="1" customWidth="1"/>
    <col min="19" max="19" width="5.57421875" style="0" bestFit="1" customWidth="1"/>
    <col min="20" max="21" width="7.140625" style="0" bestFit="1" customWidth="1"/>
    <col min="22" max="22" width="8.00390625" style="0" bestFit="1" customWidth="1"/>
    <col min="23" max="23" width="10.00390625" style="0" bestFit="1" customWidth="1"/>
    <col min="24" max="24" width="7.57421875" style="0" bestFit="1" customWidth="1"/>
    <col min="25" max="25" width="6.57421875" style="0" bestFit="1" customWidth="1"/>
  </cols>
  <sheetData>
    <row r="1" spans="1:25" ht="20.25" thickBot="1">
      <c r="A1" s="176" t="s">
        <v>7</v>
      </c>
      <c r="B1" s="141" t="s">
        <v>16</v>
      </c>
      <c r="C1" s="184" t="s">
        <v>19</v>
      </c>
      <c r="D1" s="148">
        <f>0.83*D3/1.6</f>
        <v>15.562499999999998</v>
      </c>
      <c r="E1" s="96"/>
      <c r="F1" s="96"/>
      <c r="G1" s="145" t="s">
        <v>15</v>
      </c>
      <c r="H1" s="146"/>
      <c r="I1" s="147"/>
      <c r="J1" s="2"/>
      <c r="K1" s="96"/>
      <c r="M1" s="26"/>
      <c r="N1" s="27" t="s">
        <v>10</v>
      </c>
      <c r="O1" s="28" t="s">
        <v>5</v>
      </c>
      <c r="P1" s="56" t="s">
        <v>33</v>
      </c>
      <c r="Q1" s="56" t="s">
        <v>40</v>
      </c>
      <c r="R1" s="56" t="s">
        <v>39</v>
      </c>
      <c r="S1" s="56" t="s">
        <v>36</v>
      </c>
      <c r="T1" s="56" t="s">
        <v>37</v>
      </c>
      <c r="U1" s="56" t="s">
        <v>38</v>
      </c>
      <c r="V1" s="55" t="s">
        <v>34</v>
      </c>
      <c r="W1" s="28" t="s">
        <v>35</v>
      </c>
      <c r="X1" s="29" t="s">
        <v>34</v>
      </c>
      <c r="Y1" s="30" t="s">
        <v>35</v>
      </c>
    </row>
    <row r="2" spans="1:25" ht="17.25" thickTop="1">
      <c r="A2" s="177"/>
      <c r="B2" s="139"/>
      <c r="C2" s="185"/>
      <c r="D2" s="149"/>
      <c r="E2" s="96"/>
      <c r="F2" s="96"/>
      <c r="G2" s="101"/>
      <c r="H2" s="6" t="s">
        <v>8</v>
      </c>
      <c r="I2" s="66" t="s">
        <v>9</v>
      </c>
      <c r="J2" s="2"/>
      <c r="K2" s="96"/>
      <c r="M2" s="82"/>
      <c r="N2" s="86">
        <f>O2/D46</f>
        <v>-2747.25</v>
      </c>
      <c r="O2" s="83">
        <v>-999999</v>
      </c>
      <c r="P2" s="58">
        <v>0</v>
      </c>
      <c r="Q2" s="84">
        <v>0.01</v>
      </c>
      <c r="R2" s="85">
        <v>0.01</v>
      </c>
      <c r="S2" s="58">
        <v>0</v>
      </c>
      <c r="T2" s="58">
        <f>D8</f>
        <v>326.0869565217392</v>
      </c>
      <c r="U2" s="58">
        <f>MIN(R2*D31,D5)</f>
        <v>326.0869565217392</v>
      </c>
      <c r="V2" s="37">
        <f>(S2*D52*0.8*O2)-((D38*T2)+(D36*U2))</f>
        <v>-393260.86956521746</v>
      </c>
      <c r="W2" s="13">
        <f>((S2*D52*0.8*O2)*((0.5*(D46+D40))-(0.4*O2)))+(((D38*T2)-(D36*U2))*0.5*(D46-D43))</f>
        <v>0</v>
      </c>
      <c r="X2" s="20">
        <f>V2/1000</f>
        <v>-393.2608695652175</v>
      </c>
      <c r="Y2" s="21">
        <f>W2/POWER(1000,2)</f>
        <v>0</v>
      </c>
    </row>
    <row r="3" spans="1:25" ht="15.75">
      <c r="A3" s="177"/>
      <c r="B3" s="139"/>
      <c r="C3" s="167" t="s">
        <v>20</v>
      </c>
      <c r="D3" s="160">
        <v>30</v>
      </c>
      <c r="E3" s="97"/>
      <c r="F3" s="97"/>
      <c r="G3" s="23" t="s">
        <v>67</v>
      </c>
      <c r="H3" s="7">
        <v>1242.34</v>
      </c>
      <c r="I3" s="65">
        <v>55.02</v>
      </c>
      <c r="J3" s="2"/>
      <c r="K3" s="97"/>
      <c r="M3" s="120">
        <v>1</v>
      </c>
      <c r="N3" s="8">
        <v>-1</v>
      </c>
      <c r="O3" s="31">
        <f>N3*D46</f>
        <v>-364</v>
      </c>
      <c r="P3" s="31">
        <v>0</v>
      </c>
      <c r="Q3" s="31">
        <f>D25</f>
        <v>0.01</v>
      </c>
      <c r="R3" s="33">
        <f>Q3*(D43-O3)/(D46-O3)</f>
        <v>0.005494505494505495</v>
      </c>
      <c r="S3" s="32">
        <v>0</v>
      </c>
      <c r="T3" s="32">
        <f>D8</f>
        <v>326.0869565217392</v>
      </c>
      <c r="U3" s="32">
        <f>MIN(R3*D31,D5)</f>
        <v>326.0869565217392</v>
      </c>
      <c r="V3" s="36">
        <f>(S3*D52*0.8*O3)-((D38*T3)+(D36*U3))</f>
        <v>-393260.86956521746</v>
      </c>
      <c r="W3" s="7">
        <f>((S3*D52*0.8*O3)*((0.5*(D46+D40))-(0.4*O3)))+(((D38*T3)-(D36*U3))*0.5*(D46-D43))</f>
        <v>0</v>
      </c>
      <c r="X3" s="18">
        <f>V3/1000</f>
        <v>-393.2608695652175</v>
      </c>
      <c r="Y3" s="19">
        <f>W3/POWER(1000,2)</f>
        <v>0</v>
      </c>
    </row>
    <row r="4" spans="1:25" ht="16.5" thickBot="1">
      <c r="A4" s="177"/>
      <c r="B4" s="139"/>
      <c r="C4" s="168"/>
      <c r="D4" s="161"/>
      <c r="E4" s="97"/>
      <c r="F4" s="97"/>
      <c r="G4" s="24" t="s">
        <v>68</v>
      </c>
      <c r="H4" s="4">
        <v>1264.74</v>
      </c>
      <c r="I4" s="67">
        <v>49.11</v>
      </c>
      <c r="J4" s="2"/>
      <c r="K4" s="97"/>
      <c r="M4" s="120"/>
      <c r="N4" s="9">
        <v>-0.5</v>
      </c>
      <c r="O4" s="31">
        <f>N4*D46</f>
        <v>-182</v>
      </c>
      <c r="P4" s="31">
        <v>0</v>
      </c>
      <c r="Q4" s="31">
        <f>D25</f>
        <v>0.01</v>
      </c>
      <c r="R4" s="33">
        <f>Q4*(D43-O4)/(D46-O4)</f>
        <v>0.003992673992673993</v>
      </c>
      <c r="S4" s="32">
        <v>0</v>
      </c>
      <c r="T4" s="32">
        <f>D8</f>
        <v>326.0869565217392</v>
      </c>
      <c r="U4" s="32">
        <f>MIN(R4*D31,D5)</f>
        <v>326.0869565217392</v>
      </c>
      <c r="V4" s="36">
        <f>(S4*D52*0.8*O4)-((D38*T4)+(D36*U4))</f>
        <v>-393260.86956521746</v>
      </c>
      <c r="W4" s="7">
        <f>((S4*D52*0.8*O4)*((0.5*(D46+D40))-(0.4*O4)))+(((D38*T4)-(D36*U4))*0.5*(D46-D43))</f>
        <v>0</v>
      </c>
      <c r="X4" s="18">
        <f aca="true" t="shared" si="0" ref="X4:X45">V4/1000</f>
        <v>-393.2608695652175</v>
      </c>
      <c r="Y4" s="19">
        <f aca="true" t="shared" si="1" ref="Y4:Y52">W4/POWER(1000,2)</f>
        <v>0</v>
      </c>
    </row>
    <row r="5" spans="1:25" ht="13.5" thickTop="1">
      <c r="A5" s="177"/>
      <c r="B5" s="139"/>
      <c r="C5" s="169" t="s">
        <v>21</v>
      </c>
      <c r="D5" s="186">
        <f>D11/1.15</f>
        <v>326.0869565217392</v>
      </c>
      <c r="E5" s="98"/>
      <c r="F5" s="98"/>
      <c r="G5" s="23"/>
      <c r="H5" s="7"/>
      <c r="I5" s="65"/>
      <c r="J5" s="2"/>
      <c r="K5" s="98"/>
      <c r="M5" s="120"/>
      <c r="N5" s="8">
        <v>-0.25</v>
      </c>
      <c r="O5" s="31">
        <f>N5*D46</f>
        <v>-91</v>
      </c>
      <c r="P5" s="31">
        <v>0</v>
      </c>
      <c r="Q5" s="31">
        <f>D25</f>
        <v>0.01</v>
      </c>
      <c r="R5" s="33">
        <f>Q5*(D43-O5)/(D46-O5)</f>
        <v>0.002791208791208791</v>
      </c>
      <c r="S5" s="31">
        <v>0</v>
      </c>
      <c r="T5" s="31">
        <f>D8</f>
        <v>326.0869565217392</v>
      </c>
      <c r="U5" s="32">
        <f>MIN(R5*D31,D5)</f>
        <v>326.0869565217392</v>
      </c>
      <c r="V5" s="36">
        <f>(S5*D52*0.8*O5)-((D38*T5)+(D36*U5))</f>
        <v>-393260.86956521746</v>
      </c>
      <c r="W5" s="7">
        <f>((S5*D52*0.8*O5)*((0.5*(D46+D40))-(0.4*O5)))+(((D38*T5)-(D36*U5))*0.5*(D46-D43))</f>
        <v>0</v>
      </c>
      <c r="X5" s="18">
        <f t="shared" si="0"/>
        <v>-393.2608695652175</v>
      </c>
      <c r="Y5" s="19">
        <f t="shared" si="1"/>
        <v>0</v>
      </c>
    </row>
    <row r="6" spans="1:25" ht="13.5" thickBot="1">
      <c r="A6" s="177"/>
      <c r="B6" s="139"/>
      <c r="C6" s="170"/>
      <c r="D6" s="151"/>
      <c r="E6" s="98"/>
      <c r="F6" s="98"/>
      <c r="G6" s="112"/>
      <c r="H6" s="113"/>
      <c r="I6" s="114"/>
      <c r="J6" s="2"/>
      <c r="K6" s="98"/>
      <c r="M6" s="120"/>
      <c r="N6" s="9">
        <v>-0.1</v>
      </c>
      <c r="O6" s="39">
        <f>N6*D46</f>
        <v>-36.4</v>
      </c>
      <c r="P6" s="39">
        <v>0</v>
      </c>
      <c r="Q6" s="39">
        <f>D25</f>
        <v>0.01</v>
      </c>
      <c r="R6" s="33">
        <f>Q6*(D43-O6)/(D46-O6)</f>
        <v>0.0018081918081918084</v>
      </c>
      <c r="S6" s="39">
        <v>0</v>
      </c>
      <c r="T6" s="39">
        <f>D8</f>
        <v>326.0869565217392</v>
      </c>
      <c r="U6" s="32">
        <f>MIN(R6*D31,D5)</f>
        <v>326.0869565217392</v>
      </c>
      <c r="V6" s="36">
        <f>(S6*D52*0.8*O6)-((D38*T6)+(D36*U6))</f>
        <v>-393260.86956521746</v>
      </c>
      <c r="W6" s="7">
        <f>((S6*D52*0.8*O6)*((0.5*(D46+D40))-(0.4*O6)))+(((D38*T6)-(D36*U6))*0.5*(D46-D43))</f>
        <v>0</v>
      </c>
      <c r="X6" s="18">
        <f>V6/1000</f>
        <v>-393.2608695652175</v>
      </c>
      <c r="Y6" s="19">
        <f>W6/POWER(1000,2)</f>
        <v>0</v>
      </c>
    </row>
    <row r="7" spans="1:25" ht="12.75">
      <c r="A7" s="177"/>
      <c r="B7" s="139"/>
      <c r="C7" s="171"/>
      <c r="D7" s="152"/>
      <c r="E7" s="98"/>
      <c r="F7" s="98"/>
      <c r="G7" s="98"/>
      <c r="H7" s="98"/>
      <c r="I7" s="98"/>
      <c r="J7" s="2"/>
      <c r="K7" s="98"/>
      <c r="L7" s="1"/>
      <c r="M7" s="120"/>
      <c r="N7" s="51">
        <f>O7/D46</f>
        <v>-0.0705633383667486</v>
      </c>
      <c r="O7" s="39">
        <f>-((R7*D46)-(Q7*D43))/(Q7-R7)</f>
        <v>-25.685055165496493</v>
      </c>
      <c r="P7" s="31">
        <v>0</v>
      </c>
      <c r="Q7" s="31">
        <f>D25</f>
        <v>0.01</v>
      </c>
      <c r="R7" s="59">
        <f>D22</f>
        <v>0.001582946390882229</v>
      </c>
      <c r="S7" s="31">
        <v>0</v>
      </c>
      <c r="T7" s="31">
        <f>D8</f>
        <v>326.0869565217392</v>
      </c>
      <c r="U7" s="32">
        <f>MIN(R7*D31,D5)</f>
        <v>326.0869565217392</v>
      </c>
      <c r="V7" s="36">
        <f>(S7*D52*0.8*O7)-((D38*T7)+(D36*U7))</f>
        <v>-393260.86956521746</v>
      </c>
      <c r="W7" s="36">
        <f>((S7*D52*0.8*O7)*((0.5*(D46+D40))-(0.4*O7)))+(((D38*T7)-(D36*U7))*0.5*(D46-D43))</f>
        <v>0</v>
      </c>
      <c r="X7" s="18">
        <f t="shared" si="0"/>
        <v>-393.2608695652175</v>
      </c>
      <c r="Y7" s="19">
        <f t="shared" si="1"/>
        <v>0</v>
      </c>
    </row>
    <row r="8" spans="1:25" ht="12.75">
      <c r="A8" s="177"/>
      <c r="B8" s="139"/>
      <c r="C8" s="172" t="s">
        <v>22</v>
      </c>
      <c r="D8" s="150">
        <f>D11/1.15</f>
        <v>326.0869565217392</v>
      </c>
      <c r="E8" s="98"/>
      <c r="F8" s="98"/>
      <c r="G8" s="98"/>
      <c r="H8" s="98"/>
      <c r="I8" s="98"/>
      <c r="J8" s="2"/>
      <c r="K8" s="98"/>
      <c r="M8" s="11"/>
      <c r="N8" s="12">
        <v>0</v>
      </c>
      <c r="O8" s="15">
        <f>N8*D46</f>
        <v>0</v>
      </c>
      <c r="P8" s="62">
        <f>Q8*O8/(D46-O8)</f>
        <v>0</v>
      </c>
      <c r="Q8" s="15">
        <f>D25</f>
        <v>0.01</v>
      </c>
      <c r="R8" s="57">
        <f>Q8*(D43-O8)/(D46-O8)</f>
        <v>0.000989010989010989</v>
      </c>
      <c r="S8" s="15">
        <f>1000*0.85*D1*(P8-(250*P8^2))</f>
        <v>0</v>
      </c>
      <c r="T8" s="15">
        <f>D8</f>
        <v>326.0869565217392</v>
      </c>
      <c r="U8" s="58">
        <f>MIN(R8*D31,D5)</f>
        <v>203.73626373626374</v>
      </c>
      <c r="V8" s="37">
        <f>(S8*D52*0.8*O8)-((D38*T8)+(D36*U8))</f>
        <v>-319483.4018155758</v>
      </c>
      <c r="W8" s="37">
        <f>((S8*D52*0.8*O8)*((0.5*(D46+D40))-(0.4*O8)))+(((D38*T8)-(D36*U8))*0.5*(D46-D43))</f>
        <v>12099504.710941238</v>
      </c>
      <c r="X8" s="20">
        <f t="shared" si="0"/>
        <v>-319.4834018155758</v>
      </c>
      <c r="Y8" s="21">
        <f t="shared" si="1"/>
        <v>12.099504710941238</v>
      </c>
    </row>
    <row r="9" spans="1:25" ht="12.75">
      <c r="A9" s="177"/>
      <c r="B9" s="139"/>
      <c r="C9" s="170"/>
      <c r="D9" s="151"/>
      <c r="E9" s="98"/>
      <c r="F9" s="98"/>
      <c r="G9" s="99"/>
      <c r="H9" s="99"/>
      <c r="I9" s="99"/>
      <c r="J9" s="98"/>
      <c r="K9" s="98"/>
      <c r="M9" s="120" t="s">
        <v>14</v>
      </c>
      <c r="N9" s="2">
        <v>0.05</v>
      </c>
      <c r="O9" s="31">
        <f>N9*D46</f>
        <v>18.2</v>
      </c>
      <c r="P9" s="34">
        <f>Q9*O9/(D46-O9)</f>
        <v>0.0005263157894736842</v>
      </c>
      <c r="Q9" s="31">
        <f>D25</f>
        <v>0.01</v>
      </c>
      <c r="R9" s="34">
        <f>Q9*(D43-O9)/(D46-O9)</f>
        <v>0.0005147484094852517</v>
      </c>
      <c r="S9" s="31">
        <f>1000*0.85*D1*(P9-(250*P9^2))</f>
        <v>6.046095914127423</v>
      </c>
      <c r="T9" s="31">
        <f>D8</f>
        <v>326.0869565217392</v>
      </c>
      <c r="U9" s="31">
        <f>MIN(R9*D31,D5)</f>
        <v>106.03817235396184</v>
      </c>
      <c r="V9" s="36">
        <f>(S9*D52*0.8*O9)-((D38*T9)+(D36*U9))</f>
        <v>-225358.99010816962</v>
      </c>
      <c r="W9" s="36">
        <f>((S9*D52*0.8*O9)*((0.5*(D46+D40))-(0.4*O9)))+(((D38*T9)-(D36*U9))*0.5*(D46-D43))</f>
        <v>28547210.156939223</v>
      </c>
      <c r="X9" s="18">
        <f t="shared" si="0"/>
        <v>-225.35899010816962</v>
      </c>
      <c r="Y9" s="19">
        <f t="shared" si="1"/>
        <v>28.547210156939222</v>
      </c>
    </row>
    <row r="10" spans="1:25" ht="12.75">
      <c r="A10" s="177"/>
      <c r="B10" s="139"/>
      <c r="C10" s="171"/>
      <c r="D10" s="152"/>
      <c r="E10" s="98"/>
      <c r="F10" s="98"/>
      <c r="G10" s="99"/>
      <c r="H10" s="99"/>
      <c r="I10" s="99"/>
      <c r="J10" s="98"/>
      <c r="K10" s="98"/>
      <c r="M10" s="120"/>
      <c r="N10" s="51">
        <f>O10/D46</f>
        <v>0.0989010989010989</v>
      </c>
      <c r="O10" s="39">
        <f>D43</f>
        <v>36</v>
      </c>
      <c r="P10" s="48">
        <f>Q10*O10/(D46-O10)</f>
        <v>0.001097560975609756</v>
      </c>
      <c r="Q10" s="39">
        <f>D25</f>
        <v>0.01</v>
      </c>
      <c r="R10" s="54">
        <f>Q10*(D43-O10)/(D46-O10)</f>
        <v>0</v>
      </c>
      <c r="S10" s="39">
        <f>1000*0.85*D1*(P10-(250*P10^2))</f>
        <v>10.534891340719808</v>
      </c>
      <c r="T10" s="39">
        <f>D8</f>
        <v>326.0869565217392</v>
      </c>
      <c r="U10" s="39">
        <f>MAX(R10*D31,-D5)</f>
        <v>0</v>
      </c>
      <c r="V10" s="45">
        <f>(S10*D52*0.8*O10)-((D38*T10)+(D36*U10))</f>
        <v>-75268.48653751654</v>
      </c>
      <c r="W10" s="45">
        <f>((S10*D52*0.8*O10)*((0.5*(D46+D40))-(0.4*O10)))+(((D38*T10)-(D36*U10))*0.5*(D46-D43))</f>
        <v>54772168.89863694</v>
      </c>
      <c r="X10" s="52">
        <f t="shared" si="0"/>
        <v>-75.26848653751654</v>
      </c>
      <c r="Y10" s="60">
        <f t="shared" si="1"/>
        <v>54.772168898636934</v>
      </c>
    </row>
    <row r="11" spans="1:25" ht="12.75">
      <c r="A11" s="177"/>
      <c r="B11" s="139"/>
      <c r="C11" s="167" t="s">
        <v>23</v>
      </c>
      <c r="D11" s="162">
        <v>375</v>
      </c>
      <c r="E11" s="99"/>
      <c r="F11" s="99"/>
      <c r="G11" s="100"/>
      <c r="H11" s="100"/>
      <c r="I11" s="100"/>
      <c r="J11" s="99"/>
      <c r="K11" s="99"/>
      <c r="M11" s="120"/>
      <c r="N11" s="8">
        <v>0.1</v>
      </c>
      <c r="O11" s="31">
        <f>N11*D46</f>
        <v>36.4</v>
      </c>
      <c r="P11" s="34">
        <f>Q11*O11/(D46-O11)</f>
        <v>0.0011111111111111111</v>
      </c>
      <c r="Q11" s="31">
        <f>D25</f>
        <v>0.01</v>
      </c>
      <c r="R11" s="34">
        <f>Q11*(D43-O11)/(D46-O11)</f>
        <v>-1.2210012210012168E-05</v>
      </c>
      <c r="S11" s="31">
        <f>1000*0.85*D1*(P11-(250*P11^2))</f>
        <v>10.615162037037036</v>
      </c>
      <c r="T11" s="31">
        <f>D8</f>
        <v>326.0869565217392</v>
      </c>
      <c r="U11" s="31">
        <f>MAX(R11*D31,-D5)</f>
        <v>-2.5152625152625063</v>
      </c>
      <c r="V11" s="36">
        <f>(S11*D52*0.8*O11)-((D38*T11)+(D36*U11))</f>
        <v>-71468.32407849803</v>
      </c>
      <c r="W11" s="36">
        <f>((S11*D52*0.8*O11)*((0.5*(D46+D40))-(0.4*O11)))+(((D38*T11)-(D36*U11))*0.5*(D46-D43))</f>
        <v>55424934.994636804</v>
      </c>
      <c r="X11" s="18">
        <f t="shared" si="0"/>
        <v>-71.46832407849803</v>
      </c>
      <c r="Y11" s="19">
        <f t="shared" si="1"/>
        <v>55.42493499463681</v>
      </c>
    </row>
    <row r="12" spans="1:25" ht="13.5" thickBot="1">
      <c r="A12" s="177"/>
      <c r="B12" s="142"/>
      <c r="C12" s="168"/>
      <c r="D12" s="163"/>
      <c r="E12" s="99"/>
      <c r="F12" s="99"/>
      <c r="G12" s="100"/>
      <c r="H12" s="100"/>
      <c r="I12" s="100"/>
      <c r="J12" s="99"/>
      <c r="K12" s="99"/>
      <c r="M12" s="120"/>
      <c r="N12" s="2">
        <v>0.15</v>
      </c>
      <c r="O12" s="31">
        <f>N12*D46</f>
        <v>54.6</v>
      </c>
      <c r="P12" s="34">
        <f>Q12*O12/(D46-O12)</f>
        <v>0.0017647058823529415</v>
      </c>
      <c r="Q12" s="31">
        <f>D25</f>
        <v>0.01</v>
      </c>
      <c r="R12" s="34">
        <f>Q12*(D43-O12)/(D46-O12)</f>
        <v>-0.000601163542340013</v>
      </c>
      <c r="S12" s="31">
        <f>1000*0.85*D1*(P12-(250*P12^2))</f>
        <v>13.04503676470588</v>
      </c>
      <c r="T12" s="31">
        <f>D8</f>
        <v>326.0869565217392</v>
      </c>
      <c r="U12" s="31">
        <f>MAX(R12*D31,-D5)</f>
        <v>-123.83968972204268</v>
      </c>
      <c r="V12" s="36">
        <f>(S12*D52*0.8*O12)-((D38*T12)+(D36*U12))</f>
        <v>105967.78047272417</v>
      </c>
      <c r="W12" s="36">
        <f>((S12*D52*0.8*O12)*((0.5*(D46+D40))-(0.4*O12)))+(((D38*T12)-(D36*U12))*0.5*(D46-D43))</f>
        <v>85100886.62034008</v>
      </c>
      <c r="X12" s="18">
        <f t="shared" si="0"/>
        <v>105.96778047272417</v>
      </c>
      <c r="Y12" s="19">
        <f t="shared" si="1"/>
        <v>85.10088662034008</v>
      </c>
    </row>
    <row r="13" spans="1:25" ht="13.5" thickTop="1">
      <c r="A13" s="177"/>
      <c r="B13" s="153" t="s">
        <v>12</v>
      </c>
      <c r="C13" s="180" t="s">
        <v>24</v>
      </c>
      <c r="D13" s="173">
        <v>0.0035</v>
      </c>
      <c r="E13" s="100"/>
      <c r="F13" s="100"/>
      <c r="G13" s="100"/>
      <c r="H13" s="100"/>
      <c r="I13" s="100"/>
      <c r="J13" s="100"/>
      <c r="K13" s="100"/>
      <c r="M13" s="11"/>
      <c r="N13" s="14">
        <f>1/6</f>
        <v>0.16666666666666666</v>
      </c>
      <c r="O13" s="15">
        <f>N13*D46</f>
        <v>60.666666666666664</v>
      </c>
      <c r="P13" s="63">
        <f>Q13*O13/(D46-O13)</f>
        <v>0.002</v>
      </c>
      <c r="Q13" s="15">
        <f>D25</f>
        <v>0.01</v>
      </c>
      <c r="R13" s="35">
        <f>Q13*(D43-O13)/(D46-O13)</f>
        <v>-0.0008131868131868132</v>
      </c>
      <c r="S13" s="15">
        <f>1000*0.85*D1*(P13-(250*P13^2))</f>
        <v>13.228124999999999</v>
      </c>
      <c r="T13" s="15">
        <f>D8</f>
        <v>326.0869565217392</v>
      </c>
      <c r="U13" s="15">
        <f>MAX(R13*D31,-D5)</f>
        <v>-167.5164835164835</v>
      </c>
      <c r="V13" s="37">
        <f>(S13*D52*0.8*O13)-((D38*T13)+(D36*U13))</f>
        <v>161184.00477783076</v>
      </c>
      <c r="W13" s="37">
        <f>((S13*D52*0.8*O13)*((0.5*(D46+D40))-(0.4*O13)))+(((D38*T13)-(D36*U13))*0.5*(D46-D43))</f>
        <v>93942102.8589266</v>
      </c>
      <c r="X13" s="20">
        <f t="shared" si="0"/>
        <v>161.18400477783075</v>
      </c>
      <c r="Y13" s="21">
        <f t="shared" si="1"/>
        <v>93.94210285892659</v>
      </c>
    </row>
    <row r="14" spans="1:25" ht="12.75">
      <c r="A14" s="177"/>
      <c r="B14" s="139"/>
      <c r="C14" s="165"/>
      <c r="D14" s="174"/>
      <c r="E14" s="100"/>
      <c r="F14" s="100"/>
      <c r="G14" s="100"/>
      <c r="H14" s="100"/>
      <c r="I14" s="100"/>
      <c r="J14" s="100"/>
      <c r="K14" s="100"/>
      <c r="M14" s="120" t="s">
        <v>13</v>
      </c>
      <c r="N14" s="9">
        <v>0.2</v>
      </c>
      <c r="O14" s="39">
        <f>N14*D46</f>
        <v>72.8</v>
      </c>
      <c r="P14" s="48">
        <f>Q14*O14/(D46-O14)</f>
        <v>0.0025</v>
      </c>
      <c r="Q14" s="39">
        <f>D25</f>
        <v>0.01</v>
      </c>
      <c r="R14" s="48">
        <f>Q14*(D43-O14)/(D46-O14)</f>
        <v>-0.0012637362637362638</v>
      </c>
      <c r="S14" s="39">
        <f>0.85*D1</f>
        <v>13.228124999999999</v>
      </c>
      <c r="T14" s="39">
        <f>D8</f>
        <v>326.0869565217392</v>
      </c>
      <c r="U14" s="39">
        <f>MAX(R14*D31,-D5)</f>
        <v>-260.32967032967036</v>
      </c>
      <c r="V14" s="45">
        <f>(S14*D52*0.8*O14)-((D38*T14)+(D36*U14))</f>
        <v>268510.7564261824</v>
      </c>
      <c r="W14" s="45">
        <f>((S14*D52*0.8*O14)*((0.5*(D46+D40))-(0.4*O14)))+(((D38*T14)-(D36*U14))*0.5*(D46-D43))</f>
        <v>110650703.97458959</v>
      </c>
      <c r="X14" s="52">
        <f>V14/1000</f>
        <v>268.5107564261824</v>
      </c>
      <c r="Y14" s="60">
        <f>W14/POWER(1000,2)</f>
        <v>110.65070397458959</v>
      </c>
    </row>
    <row r="15" spans="1:25" ht="12.75">
      <c r="A15" s="177"/>
      <c r="B15" s="139"/>
      <c r="C15" s="166"/>
      <c r="D15" s="175"/>
      <c r="E15" s="100"/>
      <c r="F15" s="100"/>
      <c r="G15" s="100"/>
      <c r="H15" s="100"/>
      <c r="I15" s="100"/>
      <c r="J15" s="100"/>
      <c r="K15" s="100"/>
      <c r="M15" s="120"/>
      <c r="N15" s="51">
        <f>O15/D46</f>
        <v>0.222046903533784</v>
      </c>
      <c r="O15" s="39">
        <f>((-R15*D46)+(Q15*D43))/(-R15+Q15)</f>
        <v>80.82507288629738</v>
      </c>
      <c r="P15" s="34">
        <f>Q15*O15/(D46-O15)</f>
        <v>0.0028542453850034493</v>
      </c>
      <c r="Q15" s="31">
        <f>D25</f>
        <v>0.01</v>
      </c>
      <c r="R15" s="53">
        <f>-D22</f>
        <v>-0.001582946390882229</v>
      </c>
      <c r="S15" s="31">
        <f>0.85*D1</f>
        <v>13.228124999999999</v>
      </c>
      <c r="T15" s="31">
        <f>D8</f>
        <v>326.0869565217392</v>
      </c>
      <c r="U15" s="31">
        <f>MAX(R15*D31,-D5)</f>
        <v>-326.0869565217392</v>
      </c>
      <c r="V15" s="36">
        <f>(S15*D52*0.8*O15)-((D38*T15)+(D36*U15))</f>
        <v>342132.53352769674</v>
      </c>
      <c r="W15" s="36">
        <f>((S15*D52*0.8*O15)*((0.5*(D46+D40))-(0.4*O15)))+(((D38*T15)-(D36*U15))*0.5*(D46-D43))</f>
        <v>121860134.53057513</v>
      </c>
      <c r="X15" s="18">
        <f t="shared" si="0"/>
        <v>342.13253352769675</v>
      </c>
      <c r="Y15" s="19">
        <f t="shared" si="1"/>
        <v>121.86013453057512</v>
      </c>
    </row>
    <row r="16" spans="1:25" ht="12.75">
      <c r="A16" s="177"/>
      <c r="B16" s="139"/>
      <c r="C16" s="164" t="s">
        <v>25</v>
      </c>
      <c r="D16" s="179">
        <v>0.002</v>
      </c>
      <c r="E16" s="100"/>
      <c r="F16" s="100"/>
      <c r="G16" s="100"/>
      <c r="H16" s="100"/>
      <c r="I16" s="100"/>
      <c r="J16" s="100"/>
      <c r="K16" s="100"/>
      <c r="M16" s="120"/>
      <c r="N16" s="2">
        <v>0.25</v>
      </c>
      <c r="O16" s="31">
        <f>N16*D46</f>
        <v>91</v>
      </c>
      <c r="P16" s="34">
        <f>Q16*O16/(D46-O16)</f>
        <v>0.0033333333333333335</v>
      </c>
      <c r="Q16" s="31">
        <f>D25</f>
        <v>0.01</v>
      </c>
      <c r="R16" s="34">
        <f>Q16*(D43-O16)/(D46-O16)</f>
        <v>-0.002014652014652015</v>
      </c>
      <c r="S16" s="31">
        <f>0.85*D1</f>
        <v>13.228124999999999</v>
      </c>
      <c r="T16" s="31">
        <f>D8</f>
        <v>326.0869565217392</v>
      </c>
      <c r="U16" s="31">
        <f>MAX(R16*D31,-D5)</f>
        <v>-326.0869565217392</v>
      </c>
      <c r="V16" s="36">
        <f>(S16*D52*0.8*O16)-((D38*T16)+(D36*U16))</f>
        <v>385202.99999999994</v>
      </c>
      <c r="W16" s="36">
        <f>((S16*D52*0.8*O16)*((0.5*(D46+D40))-(0.4*O16)))+(((D38*T16)-(D36*U16))*0.5*(D46-D43))</f>
        <v>127513993.40869565</v>
      </c>
      <c r="X16" s="18">
        <f t="shared" si="0"/>
        <v>385.2029999999999</v>
      </c>
      <c r="Y16" s="19">
        <f t="shared" si="1"/>
        <v>127.51399340869565</v>
      </c>
    </row>
    <row r="17" spans="1:25" ht="12.75">
      <c r="A17" s="177"/>
      <c r="B17" s="139"/>
      <c r="C17" s="165"/>
      <c r="D17" s="174"/>
      <c r="E17" s="100"/>
      <c r="F17" s="100"/>
      <c r="G17" s="100"/>
      <c r="H17" s="100"/>
      <c r="I17" s="100"/>
      <c r="J17" s="100"/>
      <c r="K17" s="100"/>
      <c r="M17" s="11"/>
      <c r="N17" s="14">
        <f>1/(1+D25/D13)</f>
        <v>0.25925925925925924</v>
      </c>
      <c r="O17" s="15">
        <f>N17*D46</f>
        <v>94.37037037037037</v>
      </c>
      <c r="P17" s="63">
        <f>Q17*O17/(D46-O17)</f>
        <v>0.0035</v>
      </c>
      <c r="Q17" s="62">
        <f>D25</f>
        <v>0.01</v>
      </c>
      <c r="R17" s="35">
        <f>Q17*(D43-O17)/(D46-O17)</f>
        <v>-0.002164835164835165</v>
      </c>
      <c r="S17" s="15">
        <f>0.85*D1</f>
        <v>13.228124999999999</v>
      </c>
      <c r="T17" s="15">
        <f>D8</f>
        <v>326.0869565217392</v>
      </c>
      <c r="U17" s="15">
        <f>MAX(R17*D31,-D5)</f>
        <v>-326.0869565217392</v>
      </c>
      <c r="V17" s="37">
        <f>(S17*D52*0.8*O17)-((D38*T17)+(D36*U17))</f>
        <v>399469.7777777777</v>
      </c>
      <c r="W17" s="37">
        <f>((S17*D52*0.8*O17)*((0.5*(D46+D40))-(0.4*O17)))+(((D38*T17)-(D36*U17))*0.5*(D46-D43))</f>
        <v>129309493.81198783</v>
      </c>
      <c r="X17" s="20">
        <f t="shared" si="0"/>
        <v>399.4697777777777</v>
      </c>
      <c r="Y17" s="21">
        <f t="shared" si="1"/>
        <v>129.30949381198783</v>
      </c>
    </row>
    <row r="18" spans="1:25" ht="13.5" thickBot="1">
      <c r="A18" s="177"/>
      <c r="B18" s="139"/>
      <c r="C18" s="181"/>
      <c r="D18" s="196"/>
      <c r="E18" s="100"/>
      <c r="F18" s="100"/>
      <c r="G18" s="100"/>
      <c r="H18" s="100"/>
      <c r="I18" s="100"/>
      <c r="J18" s="100"/>
      <c r="K18" s="100"/>
      <c r="M18" s="120">
        <v>3</v>
      </c>
      <c r="N18" s="8">
        <v>0.3</v>
      </c>
      <c r="O18" s="39">
        <f>N18*D46</f>
        <v>109.2</v>
      </c>
      <c r="P18" s="38">
        <f>D13</f>
        <v>0.0035</v>
      </c>
      <c r="Q18" s="34">
        <f>P18*(D46-O18)/O18</f>
        <v>0.008166666666666668</v>
      </c>
      <c r="R18" s="34">
        <f>P18*(D43-O18)/O18</f>
        <v>-0.0023461538461538463</v>
      </c>
      <c r="S18" s="31">
        <f>0.85*D1</f>
        <v>13.228124999999999</v>
      </c>
      <c r="T18" s="39">
        <f>D8</f>
        <v>326.0869565217392</v>
      </c>
      <c r="U18" s="39">
        <f>MAX(R18*D31,-D5)</f>
        <v>-326.0869565217392</v>
      </c>
      <c r="V18" s="45">
        <f>(S18*D52*0.8*O18)-((D38*T18)+(D36*U18))</f>
        <v>462243.5999999999</v>
      </c>
      <c r="W18" s="45">
        <f>((S18*D52*0.8*O18)*((0.5*(D46+D40))-(0.4*O18)))+(((D38*T18)-(D36*U18))*0.5*(D46-D43))</f>
        <v>136752702.16069564</v>
      </c>
      <c r="X18" s="18">
        <f t="shared" si="0"/>
        <v>462.2435999999999</v>
      </c>
      <c r="Y18" s="19">
        <f t="shared" si="1"/>
        <v>136.75270216069563</v>
      </c>
    </row>
    <row r="19" spans="1:25" ht="13.5" thickTop="1">
      <c r="A19" s="177"/>
      <c r="B19" s="139"/>
      <c r="C19" s="180" t="s">
        <v>26</v>
      </c>
      <c r="D19" s="173">
        <v>0.01</v>
      </c>
      <c r="E19" s="100"/>
      <c r="F19" s="100"/>
      <c r="G19" s="100"/>
      <c r="H19" s="100"/>
      <c r="I19" s="100"/>
      <c r="J19" s="100"/>
      <c r="K19" s="100"/>
      <c r="M19" s="120"/>
      <c r="N19" s="2">
        <v>0.35</v>
      </c>
      <c r="O19" s="39">
        <f>N19*D46</f>
        <v>127.39999999999999</v>
      </c>
      <c r="P19" s="38">
        <f>D13</f>
        <v>0.0035</v>
      </c>
      <c r="Q19" s="34">
        <f>P19*(D46-O19)/O19</f>
        <v>0.006500000000000001</v>
      </c>
      <c r="R19" s="34">
        <f>P19*(D43-O19)/O19</f>
        <v>-0.002510989010989011</v>
      </c>
      <c r="S19" s="31">
        <f>0.85*D1</f>
        <v>13.228124999999999</v>
      </c>
      <c r="T19" s="39">
        <f>D8</f>
        <v>326.0869565217392</v>
      </c>
      <c r="U19" s="39">
        <f>MAX(R19*D31,-D5)</f>
        <v>-326.0869565217392</v>
      </c>
      <c r="V19" s="45">
        <f>(S19*D52*0.8*O19)-((D38*T19)+(D36*U19))</f>
        <v>539284.1999999998</v>
      </c>
      <c r="W19" s="45">
        <f>((S19*D52*0.8*O19)*((0.5*(D46+D40))-(0.4*O19)))+(((D38*T19)-(D36*U19))*0.5*(D46-D43))</f>
        <v>144869699.77669564</v>
      </c>
      <c r="X19" s="18">
        <f t="shared" si="0"/>
        <v>539.2841999999998</v>
      </c>
      <c r="Y19" s="19">
        <f t="shared" si="1"/>
        <v>144.86969977669563</v>
      </c>
    </row>
    <row r="20" spans="1:25" ht="12.75">
      <c r="A20" s="177"/>
      <c r="B20" s="139"/>
      <c r="C20" s="165"/>
      <c r="D20" s="174"/>
      <c r="E20" s="100"/>
      <c r="F20" s="100"/>
      <c r="G20" s="100"/>
      <c r="H20" s="100"/>
      <c r="I20" s="100"/>
      <c r="J20" s="100"/>
      <c r="K20" s="100"/>
      <c r="M20" s="120"/>
      <c r="N20" s="8">
        <v>0.4</v>
      </c>
      <c r="O20" s="39">
        <f>N20*D46</f>
        <v>145.6</v>
      </c>
      <c r="P20" s="38">
        <f>D13</f>
        <v>0.0035</v>
      </c>
      <c r="Q20" s="34">
        <f>P20*(D46-O20)/O20</f>
        <v>0.00525</v>
      </c>
      <c r="R20" s="34">
        <f>P20*(D43-O20)/O20</f>
        <v>-0.0026346153846153846</v>
      </c>
      <c r="S20" s="31">
        <f>0.85*D1</f>
        <v>13.228124999999999</v>
      </c>
      <c r="T20" s="39">
        <f>D8</f>
        <v>326.0869565217392</v>
      </c>
      <c r="U20" s="39">
        <f>MAX(R20*D31,-D5)</f>
        <v>-326.0869565217392</v>
      </c>
      <c r="V20" s="45">
        <f>(S20*D52*0.8*O20)-((D38*T20)+(D36*U20))</f>
        <v>616324.7999999998</v>
      </c>
      <c r="W20" s="45">
        <f>((S20*D52*0.8*O20)*((0.5*(D46+D40))-(0.4*O20)))+(((D38*T20)-(D36*U20))*0.5*(D46-D43))</f>
        <v>151864986.25669563</v>
      </c>
      <c r="X20" s="18">
        <f t="shared" si="0"/>
        <v>616.3247999999999</v>
      </c>
      <c r="Y20" s="19">
        <f t="shared" si="1"/>
        <v>151.86498625669563</v>
      </c>
    </row>
    <row r="21" spans="1:25" ht="12.75">
      <c r="A21" s="177"/>
      <c r="B21" s="139"/>
      <c r="C21" s="166"/>
      <c r="D21" s="175"/>
      <c r="E21" s="100"/>
      <c r="F21" s="100"/>
      <c r="G21" s="100"/>
      <c r="H21" s="100"/>
      <c r="I21" s="100"/>
      <c r="J21" s="100"/>
      <c r="K21" s="100"/>
      <c r="M21" s="120"/>
      <c r="N21" s="2">
        <v>0.45</v>
      </c>
      <c r="O21" s="39">
        <f>N21*D46</f>
        <v>163.8</v>
      </c>
      <c r="P21" s="38">
        <f>D13</f>
        <v>0.0035</v>
      </c>
      <c r="Q21" s="34">
        <f>P21*(D46-O21)/O21</f>
        <v>0.004277777777777777</v>
      </c>
      <c r="R21" s="34">
        <f>P21*(D43-O21)/O21</f>
        <v>-0.0027307692307692306</v>
      </c>
      <c r="S21" s="31">
        <f>0.85*D1</f>
        <v>13.228124999999999</v>
      </c>
      <c r="T21" s="39">
        <f>D8</f>
        <v>326.0869565217392</v>
      </c>
      <c r="U21" s="39">
        <f>MAX(R21*D31,-D5)</f>
        <v>-326.0869565217392</v>
      </c>
      <c r="V21" s="45">
        <f>(S21*D52*0.8*O21)-((D38*T21)+(D36*U21))</f>
        <v>693365.3999999999</v>
      </c>
      <c r="W21" s="45">
        <f>((S21*D52*0.8*O21)*((0.5*(D46+D40))-(0.4*O21)))+(((D38*T21)-(D36*U21))*0.5*(D46-D43))</f>
        <v>157738561.60069564</v>
      </c>
      <c r="X21" s="18">
        <f t="shared" si="0"/>
        <v>693.3653999999999</v>
      </c>
      <c r="Y21" s="19">
        <f t="shared" si="1"/>
        <v>157.73856160069565</v>
      </c>
    </row>
    <row r="22" spans="1:25" ht="12.75">
      <c r="A22" s="177"/>
      <c r="B22" s="139"/>
      <c r="C22" s="164" t="s">
        <v>27</v>
      </c>
      <c r="D22" s="179">
        <f>D5/D31</f>
        <v>0.001582946390882229</v>
      </c>
      <c r="E22" s="100"/>
      <c r="F22" s="100"/>
      <c r="G22" s="100"/>
      <c r="H22" s="100"/>
      <c r="I22" s="100"/>
      <c r="J22" s="100"/>
      <c r="K22" s="100"/>
      <c r="M22" s="120"/>
      <c r="N22" s="8">
        <v>0.5</v>
      </c>
      <c r="O22" s="39">
        <f>N22*D46</f>
        <v>182</v>
      </c>
      <c r="P22" s="38">
        <f>D13</f>
        <v>0.0035</v>
      </c>
      <c r="Q22" s="34">
        <f>P22*(D46-O22)/O22</f>
        <v>0.0035</v>
      </c>
      <c r="R22" s="34">
        <f>P22*(D43-O22)/O22</f>
        <v>-0.002807692307692308</v>
      </c>
      <c r="S22" s="31">
        <f>0.85*D1</f>
        <v>13.228124999999999</v>
      </c>
      <c r="T22" s="39">
        <f>D8</f>
        <v>326.0869565217392</v>
      </c>
      <c r="U22" s="39">
        <f>MAX(R22*D31,-D5)</f>
        <v>-326.0869565217392</v>
      </c>
      <c r="V22" s="45">
        <f>(S22*D52*0.8*O22)-((D38*T22)+(D36*U22))</f>
        <v>770405.9999999999</v>
      </c>
      <c r="W22" s="45">
        <f>((S22*D52*0.8*O22)*((0.5*(D46+D40))-(0.4*O22)))+(((D38*T22)-(D36*U22))*0.5*(D46-D43))</f>
        <v>162490425.80869564</v>
      </c>
      <c r="X22" s="18">
        <f t="shared" si="0"/>
        <v>770.4059999999998</v>
      </c>
      <c r="Y22" s="19">
        <f t="shared" si="1"/>
        <v>162.49042580869565</v>
      </c>
    </row>
    <row r="23" spans="1:25" ht="12.75">
      <c r="A23" s="177"/>
      <c r="B23" s="139"/>
      <c r="C23" s="165"/>
      <c r="D23" s="174"/>
      <c r="E23" s="100"/>
      <c r="F23" s="100"/>
      <c r="G23" s="100"/>
      <c r="H23" s="100"/>
      <c r="I23" s="100"/>
      <c r="J23" s="100"/>
      <c r="K23" s="100"/>
      <c r="M23" s="120"/>
      <c r="N23" s="2">
        <v>0.55</v>
      </c>
      <c r="O23" s="39">
        <f>N23*D46</f>
        <v>200.20000000000002</v>
      </c>
      <c r="P23" s="38">
        <f>D13</f>
        <v>0.0035</v>
      </c>
      <c r="Q23" s="34">
        <f>P23*(D46-O23)/O23</f>
        <v>0.002863636363636363</v>
      </c>
      <c r="R23" s="34">
        <f>P23*(D43-O23)/O23</f>
        <v>-0.002870629370629371</v>
      </c>
      <c r="S23" s="31">
        <f>0.85*D1</f>
        <v>13.228124999999999</v>
      </c>
      <c r="T23" s="39">
        <f>D8</f>
        <v>326.0869565217392</v>
      </c>
      <c r="U23" s="39">
        <f>MAX(R23*D31,-D5)</f>
        <v>-326.0869565217392</v>
      </c>
      <c r="V23" s="45">
        <f>(S23*D52*0.8*O23)-((D38*T23)+(D36*U23))</f>
        <v>847446.5999999999</v>
      </c>
      <c r="W23" s="45">
        <f>((S23*D52*0.8*O23)*((0.5*(D46+D40))-(0.4*O23)))+(((D38*T23)-(D36*U23))*0.5*(D46-D43))</f>
        <v>166120578.88069564</v>
      </c>
      <c r="X23" s="18">
        <f t="shared" si="0"/>
        <v>847.4465999999999</v>
      </c>
      <c r="Y23" s="19">
        <f t="shared" si="1"/>
        <v>166.12057888069563</v>
      </c>
    </row>
    <row r="24" spans="1:25" ht="12.75">
      <c r="A24" s="177"/>
      <c r="B24" s="139"/>
      <c r="C24" s="166"/>
      <c r="D24" s="175"/>
      <c r="E24" s="100"/>
      <c r="F24" s="100"/>
      <c r="G24" s="100"/>
      <c r="H24" s="100"/>
      <c r="I24" s="100"/>
      <c r="J24" s="100"/>
      <c r="K24" s="100"/>
      <c r="M24" s="120"/>
      <c r="N24" s="8">
        <v>0.6</v>
      </c>
      <c r="O24" s="39">
        <f>N24*D46</f>
        <v>218.4</v>
      </c>
      <c r="P24" s="38">
        <f>D13</f>
        <v>0.0035</v>
      </c>
      <c r="Q24" s="34">
        <f>P24*(D46-O24)/O24</f>
        <v>0.002333333333333333</v>
      </c>
      <c r="R24" s="34">
        <f>P24*(D43-O24)/O24</f>
        <v>-0.002923076923076923</v>
      </c>
      <c r="S24" s="31">
        <f>0.85*D1</f>
        <v>13.228124999999999</v>
      </c>
      <c r="T24" s="39">
        <f>D8</f>
        <v>326.0869565217392</v>
      </c>
      <c r="U24" s="39">
        <f>MAX(R24*D31,-D5)</f>
        <v>-326.0869565217392</v>
      </c>
      <c r="V24" s="45">
        <f>(S24*D52*0.8*O24)-((D38*T24)+(D36*U24))</f>
        <v>924487.1999999998</v>
      </c>
      <c r="W24" s="45">
        <f>((S24*D52*0.8*O24)*((0.5*(D46+D40))-(0.4*O24)))+(((D38*T24)-(D36*U24))*0.5*(D46-D43))</f>
        <v>168629020.81669563</v>
      </c>
      <c r="X24" s="18">
        <f t="shared" si="0"/>
        <v>924.4871999999998</v>
      </c>
      <c r="Y24" s="19">
        <f t="shared" si="1"/>
        <v>168.62902081669563</v>
      </c>
    </row>
    <row r="25" spans="1:25" ht="12.75">
      <c r="A25" s="177"/>
      <c r="B25" s="139"/>
      <c r="C25" s="164" t="s">
        <v>28</v>
      </c>
      <c r="D25" s="179">
        <v>0.01</v>
      </c>
      <c r="E25" s="100"/>
      <c r="F25" s="100"/>
      <c r="G25" s="100"/>
      <c r="H25" s="100"/>
      <c r="I25" s="100"/>
      <c r="J25" s="100"/>
      <c r="K25" s="100"/>
      <c r="M25" s="120"/>
      <c r="N25" s="2">
        <v>0.65</v>
      </c>
      <c r="O25" s="39">
        <f>N25*D46</f>
        <v>236.6</v>
      </c>
      <c r="P25" s="38">
        <f>D13</f>
        <v>0.0035</v>
      </c>
      <c r="Q25" s="34">
        <f>P25*(D46-O25)/O25</f>
        <v>0.0018846153846153848</v>
      </c>
      <c r="R25" s="34">
        <f>P25*(D43-O25)/O25</f>
        <v>-0.002967455621301775</v>
      </c>
      <c r="S25" s="31">
        <f>0.85*D1</f>
        <v>13.228124999999999</v>
      </c>
      <c r="T25" s="39">
        <f>D8</f>
        <v>326.0869565217392</v>
      </c>
      <c r="U25" s="39">
        <f>MAX(R25*D31,-D5)</f>
        <v>-326.0869565217392</v>
      </c>
      <c r="V25" s="45">
        <f>(S25*D52*0.8*O25)-((D38*T25)+(D36*U25))</f>
        <v>1001527.7999999998</v>
      </c>
      <c r="W25" s="45">
        <f>((S25*D52*0.8*O25)*((0.5*(D46+D40))-(0.4*O25)))+(((D38*T25)-(D36*U25))*0.5*(D46-D43))</f>
        <v>170015751.61669564</v>
      </c>
      <c r="X25" s="18">
        <f t="shared" si="0"/>
        <v>1001.5277999999998</v>
      </c>
      <c r="Y25" s="19">
        <f t="shared" si="1"/>
        <v>170.01575161669564</v>
      </c>
    </row>
    <row r="26" spans="1:25" ht="12.75">
      <c r="A26" s="177"/>
      <c r="B26" s="139"/>
      <c r="C26" s="165"/>
      <c r="D26" s="174"/>
      <c r="E26" s="100"/>
      <c r="F26" s="100"/>
      <c r="G26" s="100"/>
      <c r="H26" s="100"/>
      <c r="I26" s="100"/>
      <c r="J26" s="100"/>
      <c r="K26" s="100"/>
      <c r="M26" s="11"/>
      <c r="N26" s="14">
        <f>1/(1+D28/D13)</f>
        <v>0.6885770045260142</v>
      </c>
      <c r="O26" s="15">
        <f>N26*D46</f>
        <v>250.64202964746917</v>
      </c>
      <c r="P26" s="46">
        <f>D13</f>
        <v>0.0035</v>
      </c>
      <c r="Q26" s="61">
        <f>P26*(D46-O26)/O26</f>
        <v>0.0015829463908822287</v>
      </c>
      <c r="R26" s="35">
        <f>P26*(D43-O26)/O26</f>
        <v>-0.002997291016286373</v>
      </c>
      <c r="S26" s="15">
        <f>0.85*D1</f>
        <v>13.228124999999999</v>
      </c>
      <c r="T26" s="15">
        <f>Q26*D31</f>
        <v>326.0869565217391</v>
      </c>
      <c r="U26" s="15">
        <f>MAX(R26*D31,-D5)</f>
        <v>-326.0869565217392</v>
      </c>
      <c r="V26" s="37">
        <f>(S26*D52*0.8*O26)-((D38*T26)+(D36*U26))</f>
        <v>1060967.7114977369</v>
      </c>
      <c r="W26" s="37">
        <f>((S26*D52*0.8*O26)*((0.5*(D46+D40))-(0.4*O26)))+(((D38*T26)-(D36*U26))*0.5*(D46-D43))</f>
        <v>170319084.6681537</v>
      </c>
      <c r="X26" s="20">
        <f t="shared" si="0"/>
        <v>1060.967711497737</v>
      </c>
      <c r="Y26" s="21">
        <f t="shared" si="1"/>
        <v>170.3190846681537</v>
      </c>
    </row>
    <row r="27" spans="1:25" ht="12.75">
      <c r="A27" s="177"/>
      <c r="B27" s="139"/>
      <c r="C27" s="166"/>
      <c r="D27" s="175"/>
      <c r="E27" s="100"/>
      <c r="F27" s="100"/>
      <c r="G27" s="100"/>
      <c r="H27" s="100"/>
      <c r="I27" s="100"/>
      <c r="J27" s="100"/>
      <c r="K27" s="100"/>
      <c r="M27" s="120">
        <v>4</v>
      </c>
      <c r="N27" s="8">
        <v>0.7</v>
      </c>
      <c r="O27" s="39">
        <f>N27*D46</f>
        <v>254.79999999999998</v>
      </c>
      <c r="P27" s="38">
        <f>D13</f>
        <v>0.0035</v>
      </c>
      <c r="Q27" s="34">
        <f>P27*(D46-O27)/O27</f>
        <v>0.0015000000000000005</v>
      </c>
      <c r="R27" s="34">
        <f>P27*(D43-O27)/O27</f>
        <v>-0.0030054945054945052</v>
      </c>
      <c r="S27" s="31">
        <f>0.85*D1</f>
        <v>13.228124999999999</v>
      </c>
      <c r="T27" s="31">
        <f>Q27*D31</f>
        <v>309.0000000000001</v>
      </c>
      <c r="U27" s="39">
        <f>MAX(R27*D31,-D5)</f>
        <v>-326.0869565217392</v>
      </c>
      <c r="V27" s="45">
        <f>(S27*D52*0.8*O27)-((D38*T27)+(D36*U27))</f>
        <v>1088871.8347826083</v>
      </c>
      <c r="W27" s="45">
        <f>((S27*D52*0.8*O27)*((0.5*(D46+D40))-(0.4*O27)))+(((D38*T27)-(D36*U27))*0.5*(D46-D43))</f>
        <v>168591007.9763478</v>
      </c>
      <c r="X27" s="18">
        <f t="shared" si="0"/>
        <v>1088.8718347826084</v>
      </c>
      <c r="Y27" s="19">
        <f t="shared" si="1"/>
        <v>168.5910079763478</v>
      </c>
    </row>
    <row r="28" spans="1:25" ht="12.75">
      <c r="A28" s="177"/>
      <c r="B28" s="139"/>
      <c r="C28" s="164" t="s">
        <v>29</v>
      </c>
      <c r="D28" s="179">
        <f>D8/D31</f>
        <v>0.001582946390882229</v>
      </c>
      <c r="E28" s="100"/>
      <c r="F28" s="100"/>
      <c r="G28" s="100"/>
      <c r="H28" s="100"/>
      <c r="I28" s="100"/>
      <c r="J28" s="100"/>
      <c r="K28" s="100"/>
      <c r="M28" s="120"/>
      <c r="N28" s="2">
        <v>0.75</v>
      </c>
      <c r="O28" s="39">
        <f>N28*D46</f>
        <v>273</v>
      </c>
      <c r="P28" s="38">
        <f>D13</f>
        <v>0.0035</v>
      </c>
      <c r="Q28" s="34">
        <f>P28*(D46-O28)/O28</f>
        <v>0.0011666666666666668</v>
      </c>
      <c r="R28" s="34">
        <f>P28*(D43-O28)/O28</f>
        <v>-0.0030384615384615385</v>
      </c>
      <c r="S28" s="31">
        <f>0.85*D1</f>
        <v>13.228124999999999</v>
      </c>
      <c r="T28" s="31">
        <f>Q28*D31</f>
        <v>240.33333333333334</v>
      </c>
      <c r="U28" s="39">
        <f>MAX(R28*D31,-D5)</f>
        <v>-326.0869565217392</v>
      </c>
      <c r="V28" s="45">
        <f>(S28*D52*0.8*O28)-((D38*T28)+(D36*U28))</f>
        <v>1207318.4347826084</v>
      </c>
      <c r="W28" s="45">
        <f>((S28*D52*0.8*O28)*((0.5*(D46+D40))-(0.4*O28)))+(((D38*T28)-(D36*U28))*0.5*(D46-D43))</f>
        <v>160943732.5043478</v>
      </c>
      <c r="X28" s="18">
        <f t="shared" si="0"/>
        <v>1207.3184347826084</v>
      </c>
      <c r="Y28" s="19">
        <f t="shared" si="1"/>
        <v>160.9437325043478</v>
      </c>
    </row>
    <row r="29" spans="1:25" ht="12.75">
      <c r="A29" s="177"/>
      <c r="B29" s="139"/>
      <c r="C29" s="165"/>
      <c r="D29" s="174"/>
      <c r="E29" s="100"/>
      <c r="F29" s="100"/>
      <c r="G29" s="99"/>
      <c r="H29" s="99"/>
      <c r="I29" s="99"/>
      <c r="J29" s="100"/>
      <c r="K29" s="100"/>
      <c r="M29" s="120"/>
      <c r="N29" s="8">
        <v>0.8</v>
      </c>
      <c r="O29" s="39">
        <f>N29*D46</f>
        <v>291.2</v>
      </c>
      <c r="P29" s="38">
        <f>D13</f>
        <v>0.0035</v>
      </c>
      <c r="Q29" s="34">
        <f>P29*(D46-O29)/O29</f>
        <v>0.0008750000000000001</v>
      </c>
      <c r="R29" s="34">
        <f>P29*(D43-O29)/O29</f>
        <v>-0.0030673076923076925</v>
      </c>
      <c r="S29" s="31">
        <f>0.85*D1</f>
        <v>13.228124999999999</v>
      </c>
      <c r="T29" s="31">
        <f>Q29*D31</f>
        <v>180.25000000000003</v>
      </c>
      <c r="U29" s="39">
        <f>MAX(R29*D31,-D5)</f>
        <v>-326.0869565217392</v>
      </c>
      <c r="V29" s="45">
        <f>(S29*D52*0.8*O29)-((D38*T29)+(D36*U29))</f>
        <v>1320589.2847826083</v>
      </c>
      <c r="W29" s="45">
        <f>((S29*D52*0.8*O29)*((0.5*(D46+D40))-(0.4*O29)))+(((D38*T29)-(D36*U29))*0.5*(D46-D43))</f>
        <v>153023568.8963478</v>
      </c>
      <c r="X29" s="18">
        <f t="shared" si="0"/>
        <v>1320.5892847826083</v>
      </c>
      <c r="Y29" s="19">
        <f t="shared" si="1"/>
        <v>153.0235688963478</v>
      </c>
    </row>
    <row r="30" spans="1:25" ht="12.75">
      <c r="A30" s="177"/>
      <c r="B30" s="156"/>
      <c r="C30" s="166"/>
      <c r="D30" s="175"/>
      <c r="E30" s="100"/>
      <c r="F30" s="100"/>
      <c r="G30" s="99"/>
      <c r="H30" s="99"/>
      <c r="I30" s="99"/>
      <c r="J30" s="100"/>
      <c r="K30" s="100"/>
      <c r="M30" s="120"/>
      <c r="N30" s="2">
        <v>0.85</v>
      </c>
      <c r="O30" s="39">
        <f>N30*D46</f>
        <v>309.4</v>
      </c>
      <c r="P30" s="38">
        <f>D13</f>
        <v>0.0035</v>
      </c>
      <c r="Q30" s="34">
        <f>P30*(D46-O30)/O30</f>
        <v>0.0006176470588235297</v>
      </c>
      <c r="R30" s="34">
        <f>P30*(D43-O30)/O30</f>
        <v>-0.003092760180995475</v>
      </c>
      <c r="S30" s="31">
        <f>0.85*D1</f>
        <v>13.228124999999999</v>
      </c>
      <c r="T30" s="31">
        <f>Q30*D31</f>
        <v>127.23529411764713</v>
      </c>
      <c r="U30" s="39">
        <f>MAX(R30*D31,-D5)</f>
        <v>-326.0869565217392</v>
      </c>
      <c r="V30" s="45">
        <f>(S30*D52*0.8*O30)-((D38*T30)+(D36*U30))</f>
        <v>1429597.7524296672</v>
      </c>
      <c r="W30" s="45">
        <f>((S30*D52*0.8*O30)*((0.5*(D46+D40))-(0.4*O30)))+(((D38*T30)-(D36*U30))*0.5*(D46-D43))</f>
        <v>144680724.85823017</v>
      </c>
      <c r="X30" s="18">
        <f t="shared" si="0"/>
        <v>1429.5977524296673</v>
      </c>
      <c r="Y30" s="19">
        <f t="shared" si="1"/>
        <v>144.68072485823018</v>
      </c>
    </row>
    <row r="31" spans="1:25" ht="12.75">
      <c r="A31" s="177"/>
      <c r="B31" s="138" t="s">
        <v>17</v>
      </c>
      <c r="C31" s="197" t="s">
        <v>30</v>
      </c>
      <c r="D31" s="162">
        <v>206000</v>
      </c>
      <c r="E31" s="99"/>
      <c r="F31" s="99"/>
      <c r="G31" s="99"/>
      <c r="H31" s="99"/>
      <c r="I31" s="99"/>
      <c r="J31" s="99"/>
      <c r="K31" s="99"/>
      <c r="M31" s="120"/>
      <c r="N31" s="8">
        <v>0.9</v>
      </c>
      <c r="O31" s="39">
        <f>N31*D46</f>
        <v>327.6</v>
      </c>
      <c r="P31" s="38">
        <f>D13</f>
        <v>0.0035</v>
      </c>
      <c r="Q31" s="34">
        <f>P31*(D46-O31)/O31</f>
        <v>0.00038888888888888865</v>
      </c>
      <c r="R31" s="34">
        <f>P31*(D43-O31)/O31</f>
        <v>-0.0031153846153846158</v>
      </c>
      <c r="S31" s="31">
        <f>0.85*D1</f>
        <v>13.228124999999999</v>
      </c>
      <c r="T31" s="31">
        <f>Q31*D31</f>
        <v>80.11111111111106</v>
      </c>
      <c r="U31" s="39">
        <f>MAX(R31*D31,-D5)</f>
        <v>-326.0869565217392</v>
      </c>
      <c r="V31" s="45">
        <f>(S31*D52*0.8*O31)-((D38*T31)+(D36*U31))</f>
        <v>1535054.2347826087</v>
      </c>
      <c r="W31" s="45">
        <f>((S31*D52*0.8*O31)*((0.5*(D46+D40))-(0.4*O31)))+(((D38*T31)-(D36*U31))*0.5*(D46-D43))</f>
        <v>135798695.2723478</v>
      </c>
      <c r="X31" s="18">
        <f t="shared" si="0"/>
        <v>1535.0542347826088</v>
      </c>
      <c r="Y31" s="19">
        <f t="shared" si="1"/>
        <v>135.7986952723478</v>
      </c>
    </row>
    <row r="32" spans="1:25" ht="12.75">
      <c r="A32" s="177"/>
      <c r="B32" s="139"/>
      <c r="C32" s="198"/>
      <c r="D32" s="182"/>
      <c r="E32" s="99"/>
      <c r="F32" s="99"/>
      <c r="G32" s="99"/>
      <c r="H32" s="99"/>
      <c r="I32" s="99"/>
      <c r="J32" s="99"/>
      <c r="K32" s="99"/>
      <c r="M32" s="120"/>
      <c r="N32" s="2">
        <v>0.95</v>
      </c>
      <c r="O32" s="39">
        <f>N32*D46</f>
        <v>345.8</v>
      </c>
      <c r="P32" s="38">
        <f>D13</f>
        <v>0.0035</v>
      </c>
      <c r="Q32" s="34">
        <f>P32*(D46-O32)/O32</f>
        <v>0.00018421052631578937</v>
      </c>
      <c r="R32" s="34">
        <f>P32*(D43-O32)/O32</f>
        <v>-0.0031356275303643724</v>
      </c>
      <c r="S32" s="31">
        <f>0.85*D1</f>
        <v>13.228124999999999</v>
      </c>
      <c r="T32" s="31">
        <f>Q32*D31</f>
        <v>37.94736842105261</v>
      </c>
      <c r="U32" s="39">
        <f>MAX(R32*D31,-D5)</f>
        <v>-326.0869565217392</v>
      </c>
      <c r="V32" s="45">
        <f>(S32*D52*0.8*O32)-((D38*T32)+(D36*U32))</f>
        <v>1637519.5716247137</v>
      </c>
      <c r="W32" s="45">
        <f>((S32*D52*0.8*O32)*((0.5*(D46+D40))-(0.4*O32)))+(((D38*T32)-(D36*U32))*0.5*(D46-D43))</f>
        <v>126285502.4142425</v>
      </c>
      <c r="X32" s="18">
        <f t="shared" si="0"/>
        <v>1637.5195716247138</v>
      </c>
      <c r="Y32" s="19">
        <f t="shared" si="1"/>
        <v>126.2855024142425</v>
      </c>
    </row>
    <row r="33" spans="1:25" ht="12.75">
      <c r="A33" s="177"/>
      <c r="B33" s="139"/>
      <c r="C33" s="198"/>
      <c r="D33" s="182"/>
      <c r="E33" s="99"/>
      <c r="F33" s="99"/>
      <c r="G33" s="99"/>
      <c r="H33" s="99"/>
      <c r="I33" s="99"/>
      <c r="J33" s="99"/>
      <c r="K33" s="99"/>
      <c r="M33" s="11"/>
      <c r="N33" s="12">
        <f>O33/D46</f>
        <v>1</v>
      </c>
      <c r="O33" s="15">
        <f>D46</f>
        <v>364</v>
      </c>
      <c r="P33" s="46">
        <f>D13</f>
        <v>0.0035</v>
      </c>
      <c r="Q33" s="62">
        <f>P33*(D46-O33)/O33</f>
        <v>0</v>
      </c>
      <c r="R33" s="35">
        <f>P33*(D43-O33)/O33</f>
        <v>-0.003153846153846154</v>
      </c>
      <c r="S33" s="15">
        <f>0.85*D1</f>
        <v>13.228124999999999</v>
      </c>
      <c r="T33" s="15">
        <f>Q33*D31</f>
        <v>0</v>
      </c>
      <c r="U33" s="15">
        <f>MAX(R33*D31,-D5)</f>
        <v>-326.0869565217392</v>
      </c>
      <c r="V33" s="37">
        <f>(S33*D52*(MIN(D49,0.8*O33))-((D38*T33)+(D36*U33)))</f>
        <v>1737442.4347826084</v>
      </c>
      <c r="W33" s="37">
        <f>((S33*D52*(MIN(D49,0.8*O33))*((0.5*(D46+D40))-(MIN(D49/2,0.4*O33)))+(((D38*T33)-(D36*U33))*0.5*(D46-D43))))</f>
        <v>116067564.10434783</v>
      </c>
      <c r="X33" s="20">
        <f t="shared" si="0"/>
        <v>1737.4424347826084</v>
      </c>
      <c r="Y33" s="21">
        <f t="shared" si="1"/>
        <v>116.06756410434782</v>
      </c>
    </row>
    <row r="34" spans="1:25" ht="12.75">
      <c r="A34" s="177"/>
      <c r="B34" s="139"/>
      <c r="C34" s="198"/>
      <c r="D34" s="182"/>
      <c r="E34" s="99"/>
      <c r="F34" s="99"/>
      <c r="G34" s="99"/>
      <c r="H34" s="99"/>
      <c r="I34" s="99"/>
      <c r="J34" s="99"/>
      <c r="K34" s="99"/>
      <c r="M34" s="10">
        <v>5</v>
      </c>
      <c r="N34" s="2">
        <v>1.05</v>
      </c>
      <c r="O34" s="31">
        <f>N34*D46</f>
        <v>382.2</v>
      </c>
      <c r="P34" s="47">
        <f>D13</f>
        <v>0.0035</v>
      </c>
      <c r="Q34" s="48">
        <f>P34*(D46-O34)/O34</f>
        <v>-0.00016666666666666658</v>
      </c>
      <c r="R34" s="48">
        <f>P34*(D43-O34)/O34</f>
        <v>-0.0031703296703296706</v>
      </c>
      <c r="S34" s="39">
        <f>0.85*D1</f>
        <v>13.228124999999999</v>
      </c>
      <c r="T34" s="39">
        <f>Q34*D31</f>
        <v>-34.333333333333314</v>
      </c>
      <c r="U34" s="39">
        <f>MAX(R34*D31,-D5)</f>
        <v>-326.0869565217392</v>
      </c>
      <c r="V34" s="45">
        <f>(S34*D52*(MIN(D49,0.8*O34))-((D38*T34)+(D36*U34)))</f>
        <v>1835186.0347826083</v>
      </c>
      <c r="W34" s="45">
        <f>((S34*D52*(MIN(D49,0.8*O34))*((0.5*(D46+D40))-(MIN(D49/2,0.4*O34)))+(((D38*T34)-(D36*U34))*0.5*(D46-D43))))</f>
        <v>105085313.81634782</v>
      </c>
      <c r="X34" s="18">
        <f t="shared" si="0"/>
        <v>1835.1860347826082</v>
      </c>
      <c r="Y34" s="19">
        <f t="shared" si="1"/>
        <v>105.08531381634782</v>
      </c>
    </row>
    <row r="35" spans="1:25" ht="13.5" thickBot="1">
      <c r="A35" s="178"/>
      <c r="B35" s="140"/>
      <c r="C35" s="199"/>
      <c r="D35" s="183"/>
      <c r="E35" s="99"/>
      <c r="F35" s="99"/>
      <c r="G35" s="99"/>
      <c r="H35" s="99"/>
      <c r="I35" s="99"/>
      <c r="J35" s="99"/>
      <c r="K35" s="99"/>
      <c r="M35" s="11"/>
      <c r="N35" s="14">
        <f>O35/D46</f>
        <v>1.098901098901099</v>
      </c>
      <c r="O35" s="15">
        <f>D49</f>
        <v>400</v>
      </c>
      <c r="P35" s="81">
        <f>D13</f>
        <v>0.0035</v>
      </c>
      <c r="Q35" s="35">
        <f>P35*(D46-O35)/O35</f>
        <v>-0.000315</v>
      </c>
      <c r="R35" s="35">
        <f>P35*(D43-O35)/O35</f>
        <v>-0.003185</v>
      </c>
      <c r="S35" s="15">
        <f>0.85*D1</f>
        <v>13.228124999999999</v>
      </c>
      <c r="T35" s="15">
        <f>Q35*D31</f>
        <v>-64.89</v>
      </c>
      <c r="U35" s="15">
        <f>MAX(R35*D31,-D5)</f>
        <v>-326.0869565217392</v>
      </c>
      <c r="V35" s="37">
        <f>(S35*D52*(MIN(D49,0.8*O35))-((D38*T35)+(D36*U35)))</f>
        <v>1928959.1047826086</v>
      </c>
      <c r="W35" s="37">
        <f>((S35*D52*(MIN(D49,0.8*O35))*((0.5*(D46+D40))-(MIN(D49/2,0.4*O35)))+(((D38*T35)-(D36*U35))*0.5*(D46-D43))))</f>
        <v>93558289.42434782</v>
      </c>
      <c r="X35" s="20">
        <f t="shared" si="0"/>
        <v>1928.9591047826086</v>
      </c>
      <c r="Y35" s="21">
        <f t="shared" si="1"/>
        <v>93.55828942434782</v>
      </c>
    </row>
    <row r="36" spans="1:25" ht="12.75">
      <c r="A36" s="176" t="s">
        <v>6</v>
      </c>
      <c r="B36" s="143" t="s">
        <v>31</v>
      </c>
      <c r="C36" s="143" t="s">
        <v>18</v>
      </c>
      <c r="D36" s="193">
        <v>603</v>
      </c>
      <c r="E36" s="99"/>
      <c r="F36" s="99"/>
      <c r="G36" s="99"/>
      <c r="H36" s="99"/>
      <c r="I36" s="99"/>
      <c r="J36" s="99"/>
      <c r="K36" s="99"/>
      <c r="M36" s="120">
        <v>6</v>
      </c>
      <c r="N36" s="8">
        <v>1.1</v>
      </c>
      <c r="O36" s="71">
        <f>N36*D46</f>
        <v>400.40000000000003</v>
      </c>
      <c r="P36" s="34">
        <f>D16*O36/(O36-((3/7)*D49))</f>
        <v>0.0034973795857249808</v>
      </c>
      <c r="Q36" s="34">
        <f>-(D16-((D46-((3/7)*D49))*(P36-D16)/((3/7)*D49)))</f>
        <v>-0.00031794359870227135</v>
      </c>
      <c r="R36" s="34">
        <f>-(((P36-D16)*(((3/7)*D49)-D43)/((3/7)*D49))+D16)</f>
        <v>-0.0031829298727227345</v>
      </c>
      <c r="S36" s="39">
        <f>0.85*D1</f>
        <v>13.228124999999999</v>
      </c>
      <c r="T36" s="31">
        <f>MAX(Q36*D31,-D8)</f>
        <v>-65.4963813326679</v>
      </c>
      <c r="U36" s="39">
        <f>MAX(R36*D31,-D5)</f>
        <v>-326.0869565217392</v>
      </c>
      <c r="V36" s="45">
        <f>(S36*D52*(MIN(D49,0.8*O36))-((D38*T36)+(D36*U36)))</f>
        <v>1931017.9527262074</v>
      </c>
      <c r="W36" s="45">
        <f>((S36*D52*(MIN(D49,0.8*O36))*((0.5*(D46+D40))-(MIN(D49/2,0.4*O36)))+(((D38*T36)-(D36*U36))*0.5*(D46-D43))))</f>
        <v>93294868.2495976</v>
      </c>
      <c r="X36" s="18">
        <f t="shared" si="0"/>
        <v>1931.0179527262073</v>
      </c>
      <c r="Y36" s="19">
        <f t="shared" si="1"/>
        <v>93.2948682495976</v>
      </c>
    </row>
    <row r="37" spans="1:25" ht="12.75">
      <c r="A37" s="187"/>
      <c r="B37" s="158"/>
      <c r="C37" s="144"/>
      <c r="D37" s="191"/>
      <c r="E37" s="99"/>
      <c r="F37" s="99"/>
      <c r="G37" s="99"/>
      <c r="H37" s="99"/>
      <c r="I37" s="99"/>
      <c r="J37" s="99"/>
      <c r="K37" s="99"/>
      <c r="M37" s="120"/>
      <c r="N37" s="8">
        <v>1.2</v>
      </c>
      <c r="O37" s="71">
        <f>N37*D46</f>
        <v>436.8</v>
      </c>
      <c r="P37" s="34">
        <f>D16*O37/(O37-((3/7)*D49))</f>
        <v>0.003291989664082687</v>
      </c>
      <c r="Q37" s="34">
        <f>-(D16-((D46-((3/7)*D49))*(P37-D16)/((3/7)*D49)))</f>
        <v>-0.0005486649440137818</v>
      </c>
      <c r="R37" s="34">
        <f>-(((P37-D16)*(((3/7)*D49)-D43)/((3/7)*D49))+D16)</f>
        <v>-0.003020671834625323</v>
      </c>
      <c r="S37" s="39">
        <f>0.85*D1</f>
        <v>13.228124999999999</v>
      </c>
      <c r="T37" s="31">
        <f>MAX(Q37*D31,-D8)</f>
        <v>-113.02497846683904</v>
      </c>
      <c r="U37" s="39">
        <f>MAX(R37*D31,-D5)</f>
        <v>-326.0869565217392</v>
      </c>
      <c r="V37" s="45">
        <f>(S37*D52*(MIN(D49,0.8*O37))-((D38*T37)+(D36*U37)))</f>
        <v>2113758.8967981124</v>
      </c>
      <c r="W37" s="45">
        <f>((S37*D52*(MIN(D49,0.8*O37))*((0.5*(D46+D40))-(MIN(D49/2,0.4*O37)))+(((D38*T37)-(D36*U37))*0.5*(D46-D43))))</f>
        <v>67812197.96580514</v>
      </c>
      <c r="X37" s="18">
        <f t="shared" si="0"/>
        <v>2113.7588967981123</v>
      </c>
      <c r="Y37" s="19">
        <f t="shared" si="1"/>
        <v>67.81219796580514</v>
      </c>
    </row>
    <row r="38" spans="1:25" ht="12.75">
      <c r="A38" s="187"/>
      <c r="B38" s="158"/>
      <c r="C38" s="158" t="s">
        <v>2</v>
      </c>
      <c r="D38" s="182">
        <v>603</v>
      </c>
      <c r="E38" s="99"/>
      <c r="F38" s="99"/>
      <c r="G38" s="99"/>
      <c r="H38" s="99"/>
      <c r="I38" s="99"/>
      <c r="J38" s="99"/>
      <c r="K38" s="99"/>
      <c r="M38" s="120"/>
      <c r="N38" s="8">
        <v>1.3</v>
      </c>
      <c r="O38" s="71">
        <f>N38*D46</f>
        <v>473.2</v>
      </c>
      <c r="P38" s="34">
        <f>D16*O38/(O38-((3/7)*D49))</f>
        <v>0.0031361484567316794</v>
      </c>
      <c r="Q38" s="34">
        <f>-(D16-((D46-((3/7)*D49))*(P38-D16)/((3/7)*D49)))</f>
        <v>-0.0007237265669380801</v>
      </c>
      <c r="R38" s="34">
        <f>-(((P38-D16)*(((3/7)*D49)-D43)/((3/7)*D49))+D16)</f>
        <v>-0.0028975572808180266</v>
      </c>
      <c r="S38" s="39">
        <f>0.85*D1</f>
        <v>13.228124999999999</v>
      </c>
      <c r="T38" s="31">
        <f>MAX(Q38*D31,-D8)</f>
        <v>-149.0876727892445</v>
      </c>
      <c r="U38" s="39">
        <f>MAX(R38*D31,-D5)</f>
        <v>-326.0869565217392</v>
      </c>
      <c r="V38" s="45">
        <f>(S38*D52*(MIN(D49,0.8*O38))-((D38*T38)+(D36*U38)))</f>
        <v>2289585.901474523</v>
      </c>
      <c r="W38" s="45">
        <f>((S38*D52*(MIN(D49,0.8*O38))*((0.5*(D46+D40))-(MIN(D49/2,0.4*O38)))+(((D38*T38)-(D36*U38))*0.5*(D46-D43))))</f>
        <v>38976569.19887386</v>
      </c>
      <c r="X38" s="18">
        <f t="shared" si="0"/>
        <v>2289.585901474523</v>
      </c>
      <c r="Y38" s="19">
        <f t="shared" si="1"/>
        <v>38.97656919887386</v>
      </c>
    </row>
    <row r="39" spans="1:25" ht="13.5" thickBot="1">
      <c r="A39" s="187"/>
      <c r="B39" s="194"/>
      <c r="C39" s="194"/>
      <c r="D39" s="163"/>
      <c r="E39" s="99"/>
      <c r="F39" s="99"/>
      <c r="G39" s="99"/>
      <c r="H39" s="99"/>
      <c r="I39" s="99"/>
      <c r="J39" s="99"/>
      <c r="K39" s="99"/>
      <c r="M39" s="120"/>
      <c r="N39" s="49">
        <f>O39/D46</f>
        <v>1.3736263736263736</v>
      </c>
      <c r="O39" s="111">
        <f>D49/0.8</f>
        <v>500</v>
      </c>
      <c r="P39" s="40">
        <f>D16*O39/(O39-((3/7)*D49))</f>
        <v>0.003043478260869565</v>
      </c>
      <c r="Q39" s="40">
        <f>-(D16-((D46-((3/7)*D49))*(P39-D16)/((3/7)*D49)))</f>
        <v>-0.0008278260869565217</v>
      </c>
      <c r="R39" s="40">
        <f>-(((P39-D16)*(((3/7)*D49)-D43)/((3/7)*D49))+D16)</f>
        <v>-0.0028243478260869563</v>
      </c>
      <c r="S39" s="41">
        <f>0.85*D1</f>
        <v>13.228124999999999</v>
      </c>
      <c r="T39" s="41">
        <f>MAX(Q39*D31,-D8)</f>
        <v>-170.53217391304347</v>
      </c>
      <c r="U39" s="41">
        <f>MAX(R39*D31,-D5)</f>
        <v>-326.0869565217392</v>
      </c>
      <c r="V39" s="42">
        <f>(S39*D52*(MIN(D49,0.8*O39))-((D38*T39)+(D36*U39)))</f>
        <v>2415961.3356521735</v>
      </c>
      <c r="W39" s="42">
        <f>((S39*D52*(MIN(D49,0.8*O39))*((0.5*(D46+D40))-(MIN(D49/2,0.4*O39)))+(((D38*T39)-(D36*U39))*0.5*(D46-D43))))</f>
        <v>15383123.561739137</v>
      </c>
      <c r="X39" s="43">
        <f t="shared" si="0"/>
        <v>2415.9613356521736</v>
      </c>
      <c r="Y39" s="44">
        <f t="shared" si="1"/>
        <v>15.383123561739138</v>
      </c>
    </row>
    <row r="40" spans="1:25" ht="13.5" thickTop="1">
      <c r="A40" s="187"/>
      <c r="B40" s="153" t="s">
        <v>11</v>
      </c>
      <c r="C40" s="153" t="s">
        <v>32</v>
      </c>
      <c r="D40" s="192">
        <v>36</v>
      </c>
      <c r="E40" s="99"/>
      <c r="F40" s="99"/>
      <c r="G40" s="99"/>
      <c r="H40" s="99"/>
      <c r="I40" s="99"/>
      <c r="J40" s="99"/>
      <c r="K40" s="99"/>
      <c r="M40" s="120"/>
      <c r="N40" s="8">
        <v>1.5</v>
      </c>
      <c r="O40" s="71">
        <f>N40*D46</f>
        <v>546</v>
      </c>
      <c r="P40" s="34">
        <f>D16*O40/(O40-((3/7)*D49))</f>
        <v>0.0029153318077803207</v>
      </c>
      <c r="Q40" s="34">
        <f>-(D16-((D46-((3/7)*D49))*(P40-D16)/((3/7)*D49)))</f>
        <v>-0.0009717772692601065</v>
      </c>
      <c r="R40" s="34">
        <f>-(((P40-D16)*(((3/7)*D49)-D43)/((3/7)*D49))+D16)</f>
        <v>-0.0027231121281464533</v>
      </c>
      <c r="S40" s="39">
        <f>0.85*D1</f>
        <v>13.228124999999999</v>
      </c>
      <c r="T40" s="31">
        <f>MAX(Q40*D31,-D8)</f>
        <v>-200.18611746758194</v>
      </c>
      <c r="U40" s="39">
        <f>MAX(R40*D31,-D5)</f>
        <v>-326.0869565217392</v>
      </c>
      <c r="V40" s="45">
        <f>(S40*D52*(MIN(D49,0.8*O40))-((D38*T40)+(D36*U40)))</f>
        <v>2433842.66361556</v>
      </c>
      <c r="W40" s="45">
        <f>((S40*D52*(MIN(D49,0.8*O40))*((0.5*(D46+D40))-(MIN(D49/2,0.4*O40)))+(((D38*T40)-(D36*U40))*0.5*(D46-D43))))</f>
        <v>12450585.77574372</v>
      </c>
      <c r="X40" s="18">
        <f t="shared" si="0"/>
        <v>2433.84266361556</v>
      </c>
      <c r="Y40" s="19">
        <f t="shared" si="1"/>
        <v>12.450585775743718</v>
      </c>
    </row>
    <row r="41" spans="1:25" ht="12.75">
      <c r="A41" s="187"/>
      <c r="B41" s="154"/>
      <c r="C41" s="139"/>
      <c r="D41" s="182"/>
      <c r="E41" s="99"/>
      <c r="F41" s="99"/>
      <c r="G41" s="99"/>
      <c r="H41" s="99"/>
      <c r="I41" s="99"/>
      <c r="J41" s="99"/>
      <c r="K41" s="99"/>
      <c r="M41" s="120"/>
      <c r="N41" s="9">
        <v>2.5</v>
      </c>
      <c r="O41" s="71">
        <f>N41*D46</f>
        <v>910</v>
      </c>
      <c r="P41" s="34">
        <f>D16*O41/(O41-((3/7)*D49))</f>
        <v>0.0024642166344294005</v>
      </c>
      <c r="Q41" s="34">
        <f>-(D16-((D46-((3/7)*D49))*(P41-D16)/((3/7)*D49)))</f>
        <v>-0.0014785299806576403</v>
      </c>
      <c r="R41" s="34">
        <f>-(((P41-D16)*(((3/7)*D49)-D43)/((3/7)*D49))+D16)</f>
        <v>-0.0023667311411992263</v>
      </c>
      <c r="S41" s="39">
        <f>0.85*D1</f>
        <v>13.228124999999999</v>
      </c>
      <c r="T41" s="31">
        <f>MAX(Q41*D31,-D8)</f>
        <v>-304.5771760154739</v>
      </c>
      <c r="U41" s="39">
        <f>MAX(R41*D31,-D5)</f>
        <v>-326.0869565217392</v>
      </c>
      <c r="V41" s="45">
        <f>(S41*D52*(MIN(D49,0.8*O41))-((D38*T41)+(D36*U41)))</f>
        <v>2496790.471919939</v>
      </c>
      <c r="W41" s="45">
        <f>((S41*D52*(MIN(D49,0.8*O41))*((0.5*(D46+D40))-(MIN(D49/2,0.4*O41)))+(((D38*T41)-(D36*U41))*0.5*(D46-D43))))</f>
        <v>2127145.2138255853</v>
      </c>
      <c r="X41" s="18">
        <f t="shared" si="0"/>
        <v>2496.790471919939</v>
      </c>
      <c r="Y41" s="19">
        <f t="shared" si="1"/>
        <v>2.1271452138255853</v>
      </c>
    </row>
    <row r="42" spans="1:25" ht="12.75">
      <c r="A42" s="187"/>
      <c r="B42" s="154"/>
      <c r="C42" s="156"/>
      <c r="D42" s="191"/>
      <c r="E42" s="99"/>
      <c r="F42" s="99"/>
      <c r="G42" s="25"/>
      <c r="H42" s="25"/>
      <c r="I42" s="25"/>
      <c r="J42" s="99"/>
      <c r="K42" s="99"/>
      <c r="M42" s="120"/>
      <c r="N42" s="9">
        <v>3</v>
      </c>
      <c r="O42" s="71">
        <f>N42*D46</f>
        <v>1092</v>
      </c>
      <c r="P42" s="34">
        <f>D16*O42/(O42-((3/7)*D49))</f>
        <v>0.00237243947858473</v>
      </c>
      <c r="Q42" s="34">
        <f>-(D16-((D46-((3/7)*D49))*(P42-D16)/((3/7)*D49)))</f>
        <v>-0.0015816263190564866</v>
      </c>
      <c r="R42" s="34">
        <f>-(((P42-D16)*(((3/7)*D49)-D43)/((3/7)*D49))+D16)</f>
        <v>-0.0022942271880819366</v>
      </c>
      <c r="S42" s="39">
        <f>0.85*D1</f>
        <v>13.228124999999999</v>
      </c>
      <c r="T42" s="31">
        <f>MAX(Q42*D31,-D8)</f>
        <v>-325.81502172563626</v>
      </c>
      <c r="U42" s="39">
        <f>MAX(R42*D31,-D5)</f>
        <v>-326.0869565217392</v>
      </c>
      <c r="V42" s="45">
        <f>(S42*D52*(MIN(D49,0.8*O42))-((D38*T42)+(D36*U42)))</f>
        <v>2509596.8928831667</v>
      </c>
      <c r="W42" s="45">
        <f>((S42*D52*(MIN(D49,0.8*O42))*((0.5*(D46+D40))-(MIN(D49/2,0.4*O42)))+(((D38*T42)-(D36*U42))*0.5*(D46-D43))))</f>
        <v>26892.175856210873</v>
      </c>
      <c r="X42" s="18">
        <f t="shared" si="0"/>
        <v>2509.5968928831667</v>
      </c>
      <c r="Y42" s="19">
        <f t="shared" si="1"/>
        <v>0.026892175856210874</v>
      </c>
    </row>
    <row r="43" spans="1:25" ht="12.75">
      <c r="A43" s="187"/>
      <c r="B43" s="154"/>
      <c r="C43" s="138" t="s">
        <v>4</v>
      </c>
      <c r="D43" s="162">
        <v>36</v>
      </c>
      <c r="E43" s="99"/>
      <c r="F43" s="99"/>
      <c r="G43" s="25"/>
      <c r="H43" s="25"/>
      <c r="I43" s="25"/>
      <c r="J43" s="99"/>
      <c r="K43" s="99"/>
      <c r="M43" s="120"/>
      <c r="N43" s="51">
        <f>O43/D46</f>
        <v>3.008005008294193</v>
      </c>
      <c r="O43" s="71">
        <f>(P43*(3/7)*D49)/(P43-D16)</f>
        <v>1094.9138230190863</v>
      </c>
      <c r="P43" s="34">
        <f>((-Q43*(3/7)*D49)-(D16*D46))/((3/7)*D49-D46)</f>
        <v>0.002371264340460924</v>
      </c>
      <c r="Q43" s="61">
        <f>-D28</f>
        <v>-0.001582946390882229</v>
      </c>
      <c r="R43" s="34">
        <f>-(((P43-D16)*((3/7)*D49-D43))/((3/7)*D49)+D16)</f>
        <v>-0.00229329882896413</v>
      </c>
      <c r="S43" s="39">
        <f>0.85*D1</f>
        <v>13.228124999999999</v>
      </c>
      <c r="T43" s="31">
        <f>MAX(Q43*D31,-D8)</f>
        <v>-326.0869565217392</v>
      </c>
      <c r="U43" s="39">
        <f>MAX(R43*D31,-D5)</f>
        <v>-326.0869565217392</v>
      </c>
      <c r="V43" s="45">
        <f>(S43*D52*(MIN(D49,0.8*O43))-((D38*T43)+(D36*U43)))</f>
        <v>2509760.869565217</v>
      </c>
      <c r="W43" s="45">
        <f>((S43*D52*(MIN(D49,0.8*O43))*((0.5*(D46+D40))-(MIN(D49/2,0.4*O43)))+(((D38*T43)-(D36*U43))*0.5*(D46-D43))))</f>
        <v>0</v>
      </c>
      <c r="X43" s="18">
        <f>V43/1000</f>
        <v>2509.760869565217</v>
      </c>
      <c r="Y43" s="19">
        <f>W43/POWER(1000,2)</f>
        <v>0</v>
      </c>
    </row>
    <row r="44" spans="1:25" ht="12.75">
      <c r="A44" s="187"/>
      <c r="B44" s="154"/>
      <c r="C44" s="154"/>
      <c r="D44" s="189"/>
      <c r="E44" s="25"/>
      <c r="F44" s="25"/>
      <c r="G44" s="99"/>
      <c r="H44" s="99"/>
      <c r="I44" s="99"/>
      <c r="J44" s="25"/>
      <c r="K44" s="25"/>
      <c r="M44" s="120"/>
      <c r="N44" s="9">
        <v>3.5</v>
      </c>
      <c r="O44" s="71">
        <f>N44*D46</f>
        <v>1274</v>
      </c>
      <c r="P44" s="34">
        <f>D16*O44/(O44-((3/7)*D49))</f>
        <v>0.0023109613889608707</v>
      </c>
      <c r="Q44" s="34">
        <f>-(D16-((D46-((3/7)*D49))*(P44-D16)/((3/7)*D49)))</f>
        <v>-0.001650686706400622</v>
      </c>
      <c r="R44" s="34">
        <f>-(((P44-D16)*(((3/7)*D49)-D43)/((3/7)*D49))+D16)</f>
        <v>-0.002245659497279088</v>
      </c>
      <c r="S44" s="39">
        <f>0.85*D1</f>
        <v>13.228124999999999</v>
      </c>
      <c r="T44" s="31">
        <f>MAX(Q44*D31,-D8)</f>
        <v>-326.0869565217392</v>
      </c>
      <c r="U44" s="39">
        <f>MAX(R44*D31,-D5)</f>
        <v>-326.0869565217392</v>
      </c>
      <c r="V44" s="45">
        <f>(S44*D52*(MIN(D49,0.8*O44))-((D38*T44)+(D36*U44)))</f>
        <v>2509760.869565217</v>
      </c>
      <c r="W44" s="45">
        <f>((S44*D52*(MIN(D49,0.8*O44))*((0.5*(D46+D40))-(MIN(D49/2,0.4*O44)))+(((D38*T44)-(D36*U44))*0.5*(D46-D43))))</f>
        <v>0</v>
      </c>
      <c r="X44" s="18">
        <f t="shared" si="0"/>
        <v>2509.760869565217</v>
      </c>
      <c r="Y44" s="19">
        <f t="shared" si="1"/>
        <v>0</v>
      </c>
    </row>
    <row r="45" spans="1:25" ht="13.5" thickBot="1">
      <c r="A45" s="187"/>
      <c r="B45" s="154"/>
      <c r="C45" s="157"/>
      <c r="D45" s="190"/>
      <c r="E45" s="25"/>
      <c r="F45" s="25"/>
      <c r="G45" s="99"/>
      <c r="H45" s="99"/>
      <c r="I45" s="99"/>
      <c r="J45" s="25"/>
      <c r="K45" s="25"/>
      <c r="M45" s="73"/>
      <c r="N45" s="74">
        <f>O45/D49</f>
        <v>2499.9975</v>
      </c>
      <c r="O45" s="75">
        <v>999999</v>
      </c>
      <c r="P45" s="117">
        <f>D16*O45/(O45-((3/7)*D49))</f>
        <v>0.00200034291627142</v>
      </c>
      <c r="Q45" s="115">
        <f>-P45</f>
        <v>-0.00200034291627142</v>
      </c>
      <c r="R45" s="116">
        <f>Q45</f>
        <v>-0.00200034291627142</v>
      </c>
      <c r="S45" s="77">
        <f>0.85*D1</f>
        <v>13.228124999999999</v>
      </c>
      <c r="T45" s="77">
        <f>MAX(Q45*D31,-D8)</f>
        <v>-326.0869565217392</v>
      </c>
      <c r="U45" s="77">
        <f>MAX(R45*D31,-D8)</f>
        <v>-326.0869565217392</v>
      </c>
      <c r="V45" s="78">
        <f>(S45*D52*(MIN(D49,0.8*O45))-((D38*T45)+(D36*U45)))</f>
        <v>2509760.869565217</v>
      </c>
      <c r="W45" s="78">
        <f>((S45*D52*(MIN(D49,0.8*O45))*((0.5*(D46+D40))-(MIN(D49/2,0.4*O45)))+(((D38*T45)-(D36*U45))*0.5*(D46-D43))))</f>
        <v>0</v>
      </c>
      <c r="X45" s="79">
        <f t="shared" si="0"/>
        <v>2509.760869565217</v>
      </c>
      <c r="Y45" s="80">
        <f t="shared" si="1"/>
        <v>0</v>
      </c>
    </row>
    <row r="46" spans="1:25" ht="12.75">
      <c r="A46" s="187"/>
      <c r="B46" s="154"/>
      <c r="C46" s="158" t="s">
        <v>3</v>
      </c>
      <c r="D46" s="182">
        <f>D49-D40</f>
        <v>364</v>
      </c>
      <c r="E46" s="99"/>
      <c r="F46" s="99"/>
      <c r="G46" s="99"/>
      <c r="H46" s="99"/>
      <c r="I46" s="99"/>
      <c r="J46" s="99"/>
      <c r="K46" s="99"/>
      <c r="M46" s="22"/>
      <c r="Y46" s="9"/>
    </row>
    <row r="47" spans="1:25" ht="12.75">
      <c r="A47" s="187"/>
      <c r="B47" s="154"/>
      <c r="C47" s="158"/>
      <c r="D47" s="182"/>
      <c r="E47" s="99"/>
      <c r="F47" s="99"/>
      <c r="G47" s="99"/>
      <c r="H47" s="99"/>
      <c r="I47" s="99"/>
      <c r="J47" s="99"/>
      <c r="K47" s="99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9"/>
    </row>
    <row r="48" spans="1:25" ht="13.5" thickBot="1">
      <c r="A48" s="187"/>
      <c r="B48" s="154"/>
      <c r="C48" s="158"/>
      <c r="D48" s="182"/>
      <c r="E48" s="99"/>
      <c r="F48" s="99"/>
      <c r="G48" s="99"/>
      <c r="H48" s="99"/>
      <c r="I48" s="99"/>
      <c r="J48" s="99"/>
      <c r="K48" s="99"/>
      <c r="M48" s="119" t="s">
        <v>44</v>
      </c>
      <c r="N48" s="119"/>
      <c r="O48" s="119"/>
      <c r="P48" s="119"/>
      <c r="Q48" s="119"/>
      <c r="R48" s="119"/>
      <c r="S48" s="25"/>
      <c r="T48" s="25"/>
      <c r="U48" s="25"/>
      <c r="V48" s="25"/>
      <c r="W48" s="25"/>
      <c r="X48" s="64"/>
      <c r="Y48" s="9"/>
    </row>
    <row r="49" spans="1:25" ht="12.75">
      <c r="A49" s="187"/>
      <c r="B49" s="154"/>
      <c r="C49" s="159" t="s">
        <v>1</v>
      </c>
      <c r="D49" s="162">
        <v>400</v>
      </c>
      <c r="E49" s="99"/>
      <c r="F49" s="99"/>
      <c r="G49" s="99"/>
      <c r="H49" s="99"/>
      <c r="I49" s="99"/>
      <c r="J49" s="99"/>
      <c r="K49" s="99"/>
      <c r="M49" s="22"/>
      <c r="N49" s="69"/>
      <c r="O49" s="69"/>
      <c r="P49" s="25"/>
      <c r="Q49" s="25"/>
      <c r="R49" s="25"/>
      <c r="S49" s="135">
        <v>1</v>
      </c>
      <c r="T49" s="131" t="s">
        <v>42</v>
      </c>
      <c r="U49" s="132"/>
      <c r="V49" s="105">
        <f>(0.85*(0.83*D3)/(1.25*1.6))*D52*D49-(-D8*D38)-(-D5*D36)</f>
        <v>2086460.8695652173</v>
      </c>
      <c r="W49" s="76">
        <v>0</v>
      </c>
      <c r="X49" s="90">
        <f>V49/1000</f>
        <v>2086.4608695652173</v>
      </c>
      <c r="Y49" s="93">
        <f t="shared" si="1"/>
        <v>0</v>
      </c>
    </row>
    <row r="50" spans="1:25" ht="15.75">
      <c r="A50" s="187"/>
      <c r="B50" s="154"/>
      <c r="C50" s="158"/>
      <c r="D50" s="182"/>
      <c r="E50" s="99"/>
      <c r="F50" s="99"/>
      <c r="G50" s="99"/>
      <c r="H50" s="99"/>
      <c r="I50" s="99"/>
      <c r="J50" s="99"/>
      <c r="K50" s="99"/>
      <c r="M50" s="2"/>
      <c r="N50" s="2"/>
      <c r="O50" s="2"/>
      <c r="P50" s="25"/>
      <c r="Q50" s="25"/>
      <c r="R50" s="25"/>
      <c r="S50" s="136"/>
      <c r="T50" s="133" t="s">
        <v>43</v>
      </c>
      <c r="U50" s="134"/>
      <c r="V50" s="106">
        <f>V49</f>
        <v>2086460.8695652173</v>
      </c>
      <c r="W50" s="70">
        <v>160000000</v>
      </c>
      <c r="X50" s="91">
        <f>V50/1000</f>
        <v>2086.4608695652173</v>
      </c>
      <c r="Y50" s="94">
        <f t="shared" si="1"/>
        <v>160</v>
      </c>
    </row>
    <row r="51" spans="1:25" ht="12.75">
      <c r="A51" s="187"/>
      <c r="B51" s="154"/>
      <c r="C51" s="144"/>
      <c r="D51" s="191"/>
      <c r="E51" s="99"/>
      <c r="F51" s="99"/>
      <c r="G51" s="99"/>
      <c r="H51" s="99"/>
      <c r="I51" s="99"/>
      <c r="J51" s="99"/>
      <c r="K51" s="99"/>
      <c r="M51" s="2"/>
      <c r="N51" s="2"/>
      <c r="O51" s="2"/>
      <c r="P51" s="25"/>
      <c r="Q51" s="25"/>
      <c r="R51" s="25"/>
      <c r="S51" s="137">
        <v>2</v>
      </c>
      <c r="T51" s="127" t="s">
        <v>41</v>
      </c>
      <c r="U51" s="129">
        <f>MAX(D49/30,20)</f>
        <v>20</v>
      </c>
      <c r="V51" s="89">
        <v>0</v>
      </c>
      <c r="W51" s="89">
        <f>V51*U51</f>
        <v>0</v>
      </c>
      <c r="X51" s="92">
        <f>V51/1000</f>
        <v>0</v>
      </c>
      <c r="Y51" s="95">
        <f t="shared" si="1"/>
        <v>0</v>
      </c>
    </row>
    <row r="52" spans="1:25" ht="12.75">
      <c r="A52" s="187"/>
      <c r="B52" s="154"/>
      <c r="C52" s="158" t="s">
        <v>0</v>
      </c>
      <c r="D52" s="182">
        <v>400</v>
      </c>
      <c r="E52" s="99"/>
      <c r="F52" s="99"/>
      <c r="G52" s="99"/>
      <c r="H52" s="99"/>
      <c r="I52" s="99"/>
      <c r="J52" s="99"/>
      <c r="K52" s="99"/>
      <c r="M52" s="25"/>
      <c r="N52" s="25"/>
      <c r="O52" s="25"/>
      <c r="P52" s="25"/>
      <c r="Q52" s="25"/>
      <c r="R52" s="25"/>
      <c r="S52" s="136"/>
      <c r="T52" s="128"/>
      <c r="U52" s="130"/>
      <c r="V52" s="70">
        <v>2500000</v>
      </c>
      <c r="W52" s="70">
        <f>V52*U51</f>
        <v>50000000</v>
      </c>
      <c r="X52" s="91">
        <f>V52/1000</f>
        <v>2500</v>
      </c>
      <c r="Y52" s="94">
        <f t="shared" si="1"/>
        <v>50</v>
      </c>
    </row>
    <row r="53" spans="1:25" ht="15.75">
      <c r="A53" s="187"/>
      <c r="B53" s="154"/>
      <c r="C53" s="158"/>
      <c r="D53" s="182"/>
      <c r="E53" s="99"/>
      <c r="F53" s="99"/>
      <c r="J53" s="99"/>
      <c r="K53" s="99"/>
      <c r="M53" s="25"/>
      <c r="N53" s="25"/>
      <c r="O53" s="25"/>
      <c r="P53" s="25"/>
      <c r="Q53" s="25"/>
      <c r="R53" s="25"/>
      <c r="S53" s="88">
        <v>3</v>
      </c>
      <c r="T53" s="121" t="s">
        <v>45</v>
      </c>
      <c r="U53" s="122"/>
      <c r="V53" s="122"/>
      <c r="W53" s="122"/>
      <c r="X53" s="122"/>
      <c r="Y53" s="123"/>
    </row>
    <row r="54" spans="1:25" ht="13.5" thickBot="1">
      <c r="A54" s="188"/>
      <c r="B54" s="155"/>
      <c r="C54" s="195"/>
      <c r="D54" s="183"/>
      <c r="E54" s="99"/>
      <c r="F54" s="99"/>
      <c r="J54" s="99"/>
      <c r="K54" s="99"/>
      <c r="M54" s="25"/>
      <c r="N54" s="25"/>
      <c r="O54" s="25"/>
      <c r="P54" s="25"/>
      <c r="Q54" s="25"/>
      <c r="R54" s="25"/>
      <c r="S54" s="87">
        <v>4</v>
      </c>
      <c r="T54" s="124" t="s">
        <v>46</v>
      </c>
      <c r="U54" s="125"/>
      <c r="V54" s="125"/>
      <c r="W54" s="125"/>
      <c r="X54" s="125"/>
      <c r="Y54" s="126"/>
    </row>
    <row r="55" spans="13:25" ht="12.75"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</sheetData>
  <mergeCells count="61">
    <mergeCell ref="T53:Y53"/>
    <mergeCell ref="T54:Y54"/>
    <mergeCell ref="T49:U49"/>
    <mergeCell ref="T50:U50"/>
    <mergeCell ref="D46:D48"/>
    <mergeCell ref="S51:S52"/>
    <mergeCell ref="T51:T52"/>
    <mergeCell ref="U51:U52"/>
    <mergeCell ref="M48:R48"/>
    <mergeCell ref="S49:S50"/>
    <mergeCell ref="B31:B35"/>
    <mergeCell ref="C31:C35"/>
    <mergeCell ref="D31:D35"/>
    <mergeCell ref="M36:M44"/>
    <mergeCell ref="C38:C39"/>
    <mergeCell ref="D38:D39"/>
    <mergeCell ref="B40:B54"/>
    <mergeCell ref="C40:C42"/>
    <mergeCell ref="D40:D42"/>
    <mergeCell ref="C43:C45"/>
    <mergeCell ref="A36:A54"/>
    <mergeCell ref="B36:B39"/>
    <mergeCell ref="C36:C37"/>
    <mergeCell ref="D36:D37"/>
    <mergeCell ref="C52:C54"/>
    <mergeCell ref="D52:D54"/>
    <mergeCell ref="C49:C51"/>
    <mergeCell ref="D49:D51"/>
    <mergeCell ref="D43:D45"/>
    <mergeCell ref="C46:C48"/>
    <mergeCell ref="A1:A35"/>
    <mergeCell ref="C25:C27"/>
    <mergeCell ref="D25:D27"/>
    <mergeCell ref="M27:M32"/>
    <mergeCell ref="C28:C30"/>
    <mergeCell ref="D28:D30"/>
    <mergeCell ref="M9:M12"/>
    <mergeCell ref="C11:C12"/>
    <mergeCell ref="D11:D12"/>
    <mergeCell ref="B13:B30"/>
    <mergeCell ref="C13:C15"/>
    <mergeCell ref="D13:D15"/>
    <mergeCell ref="M14:M16"/>
    <mergeCell ref="C16:C18"/>
    <mergeCell ref="D16:D18"/>
    <mergeCell ref="M18:M25"/>
    <mergeCell ref="C19:C21"/>
    <mergeCell ref="D19:D21"/>
    <mergeCell ref="C22:C24"/>
    <mergeCell ref="D22:D24"/>
    <mergeCell ref="G1:I1"/>
    <mergeCell ref="C3:C4"/>
    <mergeCell ref="D3:D4"/>
    <mergeCell ref="M3:M7"/>
    <mergeCell ref="C5:C7"/>
    <mergeCell ref="D5:D7"/>
    <mergeCell ref="B1:B12"/>
    <mergeCell ref="C1:C2"/>
    <mergeCell ref="D1:D2"/>
    <mergeCell ref="C8:C10"/>
    <mergeCell ref="D8:D10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4"/>
  <sheetViews>
    <sheetView zoomScale="75" zoomScaleNormal="75" workbookViewId="0" topLeftCell="A1">
      <selection activeCell="J5" sqref="J5"/>
    </sheetView>
  </sheetViews>
  <sheetFormatPr defaultColWidth="9.140625" defaultRowHeight="12.75"/>
  <cols>
    <col min="1" max="1" width="5.28125" style="0" bestFit="1" customWidth="1"/>
    <col min="2" max="2" width="4.28125" style="0" bestFit="1" customWidth="1"/>
    <col min="3" max="3" width="5.28125" style="0" bestFit="1" customWidth="1"/>
    <col min="4" max="4" width="4.28125" style="0" bestFit="1" customWidth="1"/>
    <col min="5" max="6" width="10.7109375" style="0" customWidth="1"/>
    <col min="7" max="9" width="12.7109375" style="0" customWidth="1"/>
    <col min="10" max="11" width="10.7109375" style="0" customWidth="1"/>
    <col min="12" max="12" width="1.7109375" style="0" customWidth="1"/>
    <col min="13" max="13" width="3.140625" style="0" bestFit="1" customWidth="1"/>
    <col min="14" max="14" width="8.140625" style="0" bestFit="1" customWidth="1"/>
    <col min="15" max="16" width="7.57421875" style="0" bestFit="1" customWidth="1"/>
    <col min="17" max="18" width="8.140625" style="0" bestFit="1" customWidth="1"/>
    <col min="19" max="19" width="5.57421875" style="0" bestFit="1" customWidth="1"/>
    <col min="20" max="21" width="7.140625" style="0" bestFit="1" customWidth="1"/>
    <col min="22" max="22" width="8.00390625" style="0" bestFit="1" customWidth="1"/>
    <col min="23" max="23" width="10.00390625" style="0" bestFit="1" customWidth="1"/>
    <col min="24" max="24" width="7.57421875" style="0" bestFit="1" customWidth="1"/>
    <col min="25" max="25" width="6.57421875" style="0" bestFit="1" customWidth="1"/>
  </cols>
  <sheetData>
    <row r="1" spans="1:25" ht="20.25" thickBot="1">
      <c r="A1" s="176" t="s">
        <v>7</v>
      </c>
      <c r="B1" s="141" t="s">
        <v>16</v>
      </c>
      <c r="C1" s="184" t="s">
        <v>19</v>
      </c>
      <c r="D1" s="148">
        <f>0.83*D3/1.6</f>
        <v>15.562499999999998</v>
      </c>
      <c r="E1" s="96"/>
      <c r="F1" s="96"/>
      <c r="G1" s="145" t="s">
        <v>15</v>
      </c>
      <c r="H1" s="146"/>
      <c r="I1" s="147"/>
      <c r="J1" s="2"/>
      <c r="K1" s="96"/>
      <c r="M1" s="26"/>
      <c r="N1" s="27" t="s">
        <v>10</v>
      </c>
      <c r="O1" s="28" t="s">
        <v>5</v>
      </c>
      <c r="P1" s="56" t="s">
        <v>33</v>
      </c>
      <c r="Q1" s="56" t="s">
        <v>40</v>
      </c>
      <c r="R1" s="56" t="s">
        <v>39</v>
      </c>
      <c r="S1" s="56" t="s">
        <v>36</v>
      </c>
      <c r="T1" s="56" t="s">
        <v>37</v>
      </c>
      <c r="U1" s="56" t="s">
        <v>38</v>
      </c>
      <c r="V1" s="55" t="s">
        <v>34</v>
      </c>
      <c r="W1" s="28" t="s">
        <v>35</v>
      </c>
      <c r="X1" s="29" t="s">
        <v>34</v>
      </c>
      <c r="Y1" s="30" t="s">
        <v>35</v>
      </c>
    </row>
    <row r="2" spans="1:25" ht="17.25" thickTop="1">
      <c r="A2" s="177"/>
      <c r="B2" s="139"/>
      <c r="C2" s="185"/>
      <c r="D2" s="149"/>
      <c r="E2" s="96"/>
      <c r="F2" s="96"/>
      <c r="G2" s="101"/>
      <c r="H2" s="6" t="s">
        <v>8</v>
      </c>
      <c r="I2" s="66" t="s">
        <v>9</v>
      </c>
      <c r="J2" s="2"/>
      <c r="K2" s="96"/>
      <c r="M2" s="82"/>
      <c r="N2" s="86">
        <f>O2/D46</f>
        <v>-2415.4565217391305</v>
      </c>
      <c r="O2" s="83">
        <v>-999999</v>
      </c>
      <c r="P2" s="58">
        <v>0</v>
      </c>
      <c r="Q2" s="58">
        <f>D25</f>
        <v>0.01</v>
      </c>
      <c r="R2" s="85">
        <v>0.01</v>
      </c>
      <c r="S2" s="58">
        <v>0</v>
      </c>
      <c r="T2" s="58">
        <f>D8</f>
        <v>326.0869565217392</v>
      </c>
      <c r="U2" s="58">
        <f>MIN(R2*D31,D5)</f>
        <v>326.0869565217392</v>
      </c>
      <c r="V2" s="37">
        <f>(S2*D52*0.8*O2)-((D38*T2)+(D36*U2))</f>
        <v>-409565.21739130444</v>
      </c>
      <c r="W2" s="13">
        <f>((S2*D52*0.8*O2)*((0.5*(D46+D40))-(0.4*O2)))+(((D38*T2)-(D36*U2))*0.5*(D46-D43))</f>
        <v>0</v>
      </c>
      <c r="X2" s="20">
        <f>V2/1000</f>
        <v>-409.56521739130443</v>
      </c>
      <c r="Y2" s="21">
        <f>W2/POWER(1000,2)</f>
        <v>0</v>
      </c>
    </row>
    <row r="3" spans="1:25" ht="15.75">
      <c r="A3" s="177"/>
      <c r="B3" s="139"/>
      <c r="C3" s="167" t="s">
        <v>20</v>
      </c>
      <c r="D3" s="160">
        <v>30</v>
      </c>
      <c r="E3" s="97"/>
      <c r="F3" s="97"/>
      <c r="G3" s="23" t="s">
        <v>69</v>
      </c>
      <c r="H3" s="7">
        <v>1519.21</v>
      </c>
      <c r="I3" s="65">
        <v>92.14</v>
      </c>
      <c r="J3" s="2"/>
      <c r="K3" s="97"/>
      <c r="M3" s="120">
        <v>1</v>
      </c>
      <c r="N3" s="8">
        <v>-1</v>
      </c>
      <c r="O3" s="7">
        <f>N3*D46</f>
        <v>-414</v>
      </c>
      <c r="P3" s="31">
        <v>0</v>
      </c>
      <c r="Q3" s="31">
        <f>D25</f>
        <v>0.01</v>
      </c>
      <c r="R3" s="33">
        <f>Q3*(D43-O3)/(D46-O3)</f>
        <v>0.005434782608695652</v>
      </c>
      <c r="S3" s="32">
        <v>0</v>
      </c>
      <c r="T3" s="32">
        <f>D8</f>
        <v>326.0869565217392</v>
      </c>
      <c r="U3" s="32">
        <f>MIN(R3*D31,D5)</f>
        <v>326.0869565217392</v>
      </c>
      <c r="V3" s="36">
        <f>(S3*D52*0.8*O3)-((D38*T3)+(D36*U3))</f>
        <v>-409565.21739130444</v>
      </c>
      <c r="W3" s="7">
        <f>((S3*D52*0.8*O3)*((0.5*(D46+D40))-(0.4*O3)))+(((D38*T3)-(D36*U3))*0.5*(D46-D43))</f>
        <v>0</v>
      </c>
      <c r="X3" s="18">
        <f>V3/1000</f>
        <v>-409.56521739130443</v>
      </c>
      <c r="Y3" s="19">
        <f>W3/POWER(1000,2)</f>
        <v>0</v>
      </c>
    </row>
    <row r="4" spans="1:25" ht="16.5" thickBot="1">
      <c r="A4" s="177"/>
      <c r="B4" s="139"/>
      <c r="C4" s="168"/>
      <c r="D4" s="161"/>
      <c r="E4" s="97"/>
      <c r="F4" s="97"/>
      <c r="G4" s="24" t="s">
        <v>70</v>
      </c>
      <c r="H4" s="4">
        <v>1533.39</v>
      </c>
      <c r="I4" s="67">
        <v>46.07</v>
      </c>
      <c r="J4" s="2"/>
      <c r="K4" s="97"/>
      <c r="M4" s="120"/>
      <c r="N4" s="9">
        <v>-0.5</v>
      </c>
      <c r="O4" s="7">
        <f>N4*D46</f>
        <v>-207</v>
      </c>
      <c r="P4" s="31">
        <v>0</v>
      </c>
      <c r="Q4" s="31">
        <f>D25</f>
        <v>0.01</v>
      </c>
      <c r="R4" s="33">
        <f>Q4*(D43-O4)/(D46-O4)</f>
        <v>0.00391304347826087</v>
      </c>
      <c r="S4" s="32">
        <v>0</v>
      </c>
      <c r="T4" s="32">
        <f>D8</f>
        <v>326.0869565217392</v>
      </c>
      <c r="U4" s="32">
        <f>MIN(R4*D31,D5)</f>
        <v>326.0869565217392</v>
      </c>
      <c r="V4" s="36">
        <f>(S4*D52*0.8*O4)-((D38*T4)+(D36*U4))</f>
        <v>-409565.21739130444</v>
      </c>
      <c r="W4" s="7">
        <f>((S4*D52*0.8*O4)*((0.5*(D46+D40))-(0.4*O4)))+(((D38*T4)-(D36*U4))*0.5*(D46-D43))</f>
        <v>0</v>
      </c>
      <c r="X4" s="18">
        <f aca="true" t="shared" si="0" ref="X4:X45">V4/1000</f>
        <v>-409.56521739130443</v>
      </c>
      <c r="Y4" s="19">
        <f aca="true" t="shared" si="1" ref="Y4:Y52">W4/POWER(1000,2)</f>
        <v>0</v>
      </c>
    </row>
    <row r="5" spans="1:25" ht="13.5" thickTop="1">
      <c r="A5" s="177"/>
      <c r="B5" s="139"/>
      <c r="C5" s="169" t="s">
        <v>21</v>
      </c>
      <c r="D5" s="186">
        <f>D11/1.15</f>
        <v>326.0869565217392</v>
      </c>
      <c r="E5" s="98"/>
      <c r="F5" s="98"/>
      <c r="G5" s="24"/>
      <c r="H5" s="4"/>
      <c r="I5" s="67"/>
      <c r="J5" s="2"/>
      <c r="K5" s="98"/>
      <c r="M5" s="120"/>
      <c r="N5" s="8">
        <v>-0.25</v>
      </c>
      <c r="O5" s="7">
        <f>N5*D46</f>
        <v>-103.5</v>
      </c>
      <c r="P5" s="31">
        <v>0</v>
      </c>
      <c r="Q5" s="31">
        <f>D25</f>
        <v>0.01</v>
      </c>
      <c r="R5" s="33">
        <f>Q5*(D43-O5)/(D46-O5)</f>
        <v>0.0026956521739130435</v>
      </c>
      <c r="S5" s="31">
        <v>0</v>
      </c>
      <c r="T5" s="31">
        <f>D8</f>
        <v>326.0869565217392</v>
      </c>
      <c r="U5" s="32">
        <f>MIN(R5*D31,D5)</f>
        <v>326.0869565217392</v>
      </c>
      <c r="V5" s="36">
        <f>(S5*D52*0.8*O5)-((D38*T5)+(D36*U5))</f>
        <v>-409565.21739130444</v>
      </c>
      <c r="W5" s="7">
        <f>((S5*D52*0.8*O5)*((0.5*(D46+D40))-(0.4*O5)))+(((D38*T5)-(D36*U5))*0.5*(D46-D43))</f>
        <v>0</v>
      </c>
      <c r="X5" s="18">
        <f t="shared" si="0"/>
        <v>-409.56521739130443</v>
      </c>
      <c r="Y5" s="19">
        <f t="shared" si="1"/>
        <v>0</v>
      </c>
    </row>
    <row r="6" spans="1:25" ht="13.5" thickBot="1">
      <c r="A6" s="177"/>
      <c r="B6" s="139"/>
      <c r="C6" s="170"/>
      <c r="D6" s="151"/>
      <c r="E6" s="98"/>
      <c r="F6" s="98"/>
      <c r="G6" s="3"/>
      <c r="H6" s="5"/>
      <c r="I6" s="68"/>
      <c r="J6" s="2"/>
      <c r="K6" s="98"/>
      <c r="M6" s="120"/>
      <c r="N6" s="9">
        <v>-0.1</v>
      </c>
      <c r="O6" s="39">
        <f>N6*D46</f>
        <v>-41.400000000000006</v>
      </c>
      <c r="P6" s="39">
        <v>0</v>
      </c>
      <c r="Q6" s="39">
        <f>D25</f>
        <v>0.01</v>
      </c>
      <c r="R6" s="33">
        <f>Q6*(D43-O6)/(D46-O6)</f>
        <v>0.0016996047430830042</v>
      </c>
      <c r="S6" s="39">
        <v>0</v>
      </c>
      <c r="T6" s="39">
        <f>D8</f>
        <v>326.0869565217392</v>
      </c>
      <c r="U6" s="32">
        <f>MIN(R6*D31,D5)</f>
        <v>326.0869565217392</v>
      </c>
      <c r="V6" s="36">
        <f>(S6*D52*0.8*O6)-((D38*T6)+(D36*U6))</f>
        <v>-409565.21739130444</v>
      </c>
      <c r="W6" s="7">
        <f>((S6*D52*0.8*O6)*((0.5*(D46+D40))-(0.4*O6)))+(((D38*T6)-(D36*U6))*0.5*(D46-D43))</f>
        <v>0</v>
      </c>
      <c r="X6" s="18">
        <f>V6/1000</f>
        <v>-409.56521739130443</v>
      </c>
      <c r="Y6" s="19">
        <f>W6/POWER(1000,2)</f>
        <v>0</v>
      </c>
    </row>
    <row r="7" spans="1:25" ht="12.75">
      <c r="A7" s="177"/>
      <c r="B7" s="139"/>
      <c r="C7" s="171"/>
      <c r="D7" s="152"/>
      <c r="E7" s="98"/>
      <c r="F7" s="98"/>
      <c r="G7" s="98"/>
      <c r="H7" s="98"/>
      <c r="I7" s="98"/>
      <c r="J7" s="2"/>
      <c r="K7" s="98"/>
      <c r="L7" s="1"/>
      <c r="M7" s="120"/>
      <c r="N7" s="51">
        <f>O7/D46</f>
        <v>-0.08475426278836512</v>
      </c>
      <c r="O7" s="39">
        <f>-((R7*D46)-(Q7*D43))/(Q7-R7)</f>
        <v>-35.08826479438316</v>
      </c>
      <c r="P7" s="31">
        <v>0</v>
      </c>
      <c r="Q7" s="31">
        <f>D25</f>
        <v>0.01</v>
      </c>
      <c r="R7" s="59">
        <f>D22</f>
        <v>0.001582946390882229</v>
      </c>
      <c r="S7" s="31">
        <v>0</v>
      </c>
      <c r="T7" s="31">
        <f>D8</f>
        <v>326.0869565217392</v>
      </c>
      <c r="U7" s="32">
        <f>MIN(R7*D31,D5)</f>
        <v>326.0869565217392</v>
      </c>
      <c r="V7" s="36">
        <f>(S7*D52*0.8*O7)-((D38*T7)+(D36*U7))</f>
        <v>-409565.21739130444</v>
      </c>
      <c r="W7" s="36">
        <f>((S7*D52*0.8*O7)*((0.5*(D46+D40))-(0.4*O7)))+(((D38*T7)-(D36*U7))*0.5*(D46-D43))</f>
        <v>0</v>
      </c>
      <c r="X7" s="18">
        <f t="shared" si="0"/>
        <v>-409.56521739130443</v>
      </c>
      <c r="Y7" s="19">
        <f t="shared" si="1"/>
        <v>0</v>
      </c>
    </row>
    <row r="8" spans="1:25" ht="12.75">
      <c r="A8" s="177"/>
      <c r="B8" s="139"/>
      <c r="C8" s="172" t="s">
        <v>22</v>
      </c>
      <c r="D8" s="150">
        <f>D11/1.15</f>
        <v>326.0869565217392</v>
      </c>
      <c r="E8" s="98"/>
      <c r="F8" s="98"/>
      <c r="G8" s="98"/>
      <c r="H8" s="98"/>
      <c r="I8" s="98"/>
      <c r="J8" s="2"/>
      <c r="K8" s="98"/>
      <c r="M8" s="11"/>
      <c r="N8" s="12">
        <v>0</v>
      </c>
      <c r="O8" s="13">
        <f>N8*D46</f>
        <v>0</v>
      </c>
      <c r="P8" s="62">
        <f>Q8*O8/(D46-O8)</f>
        <v>0</v>
      </c>
      <c r="Q8" s="15">
        <f>D25</f>
        <v>0.01</v>
      </c>
      <c r="R8" s="57">
        <f>Q8*(D43-O8)/(D46-O8)</f>
        <v>0.0008695652173913043</v>
      </c>
      <c r="S8" s="15">
        <f>1000*0.85*D1*(P8-(250*P8^2))</f>
        <v>0</v>
      </c>
      <c r="T8" s="15">
        <f>D8</f>
        <v>326.0869565217392</v>
      </c>
      <c r="U8" s="58">
        <f>MIN(R8*D31,D5)</f>
        <v>179.1304347826087</v>
      </c>
      <c r="V8" s="37">
        <f>(S8*D52*0.8*O8)-((D38*T8)+(D36*U8))</f>
        <v>-317276.5217391305</v>
      </c>
      <c r="W8" s="37">
        <f>((S8*D52*0.8*O8)*((0.5*(D46+D40))-(0.4*O8)))+(((D38*T8)-(D36*U8))*0.5*(D46-D43))</f>
        <v>17442563.47826088</v>
      </c>
      <c r="X8" s="20">
        <f t="shared" si="0"/>
        <v>-317.2765217391305</v>
      </c>
      <c r="Y8" s="21">
        <f t="shared" si="1"/>
        <v>17.44256347826088</v>
      </c>
    </row>
    <row r="9" spans="1:25" ht="12.75">
      <c r="A9" s="177"/>
      <c r="B9" s="139"/>
      <c r="C9" s="170"/>
      <c r="D9" s="151"/>
      <c r="E9" s="98"/>
      <c r="F9" s="98"/>
      <c r="G9" s="99"/>
      <c r="H9" s="99"/>
      <c r="I9" s="99"/>
      <c r="J9" s="98"/>
      <c r="K9" s="98"/>
      <c r="M9" s="120" t="s">
        <v>14</v>
      </c>
      <c r="N9" s="2">
        <v>0.05</v>
      </c>
      <c r="O9" s="7">
        <f>N9*D46</f>
        <v>20.700000000000003</v>
      </c>
      <c r="P9" s="34">
        <f>Q9*O9/(D46-O9)</f>
        <v>0.0005263157894736843</v>
      </c>
      <c r="Q9" s="31">
        <f>D25</f>
        <v>0.01</v>
      </c>
      <c r="R9" s="34">
        <f>Q9*(D43-O9)/(D46-O9)</f>
        <v>0.00038901601830663605</v>
      </c>
      <c r="S9" s="31">
        <f>1000*0.85*D1*(P9-(250*P9^2))</f>
        <v>6.046095914127424</v>
      </c>
      <c r="T9" s="31">
        <f>D8</f>
        <v>326.0869565217392</v>
      </c>
      <c r="U9" s="31">
        <f>MIN(R9*D31,D5)</f>
        <v>80.13729977116702</v>
      </c>
      <c r="V9" s="36">
        <f>(S9*D52*0.8*O9)-((D38*T9)+(D36*U9))</f>
        <v>-210053.32619986753</v>
      </c>
      <c r="W9" s="36">
        <f>((S9*D52*0.8*O9)*((0.5*(D46+D40))-(0.4*O9)))+(((D38*T9)-(D36*U9))*0.5*(D46-D43))</f>
        <v>38956686.082349166</v>
      </c>
      <c r="X9" s="18">
        <f t="shared" si="0"/>
        <v>-210.05332619986754</v>
      </c>
      <c r="Y9" s="19">
        <f t="shared" si="1"/>
        <v>38.956686082349165</v>
      </c>
    </row>
    <row r="10" spans="1:25" ht="12.75">
      <c r="A10" s="177"/>
      <c r="B10" s="139"/>
      <c r="C10" s="171"/>
      <c r="D10" s="152"/>
      <c r="E10" s="98"/>
      <c r="F10" s="98"/>
      <c r="G10" s="99"/>
      <c r="H10" s="99"/>
      <c r="I10" s="99"/>
      <c r="J10" s="98"/>
      <c r="K10" s="98"/>
      <c r="M10" s="120"/>
      <c r="N10" s="51">
        <f>O10/D46</f>
        <v>0.08695652173913043</v>
      </c>
      <c r="O10" s="17">
        <f>D43</f>
        <v>36</v>
      </c>
      <c r="P10" s="48">
        <f>Q10*O10/(D46-O10)</f>
        <v>0.0009523809523809524</v>
      </c>
      <c r="Q10" s="39">
        <f>D25</f>
        <v>0.01</v>
      </c>
      <c r="R10" s="54">
        <f>Q10*(D43-O10)/(D46-O10)</f>
        <v>0</v>
      </c>
      <c r="S10" s="39">
        <f>1000*0.85*D1*(P10-(250*P10^2))</f>
        <v>9.598639455782312</v>
      </c>
      <c r="T10" s="39">
        <f>D8</f>
        <v>326.0869565217392</v>
      </c>
      <c r="U10" s="39">
        <f>MAX(R10*D31,-D5)</f>
        <v>0</v>
      </c>
      <c r="V10" s="45">
        <f>(S10*D52*0.8*O10)-((D38*T10)+(D36*U10))</f>
        <v>-80384.24134871343</v>
      </c>
      <c r="W10" s="45">
        <f>((S10*D52*0.8*O10)*((0.5*(D46+D40))-(0.4*O10)))+(((D38*T10)-(D36*U10))*0.5*(D46-D43))</f>
        <v>64902209.20674358</v>
      </c>
      <c r="X10" s="52">
        <f t="shared" si="0"/>
        <v>-80.38424134871343</v>
      </c>
      <c r="Y10" s="60">
        <f t="shared" si="1"/>
        <v>64.90220920674358</v>
      </c>
    </row>
    <row r="11" spans="1:25" ht="12.75">
      <c r="A11" s="177"/>
      <c r="B11" s="139"/>
      <c r="C11" s="167" t="s">
        <v>23</v>
      </c>
      <c r="D11" s="162">
        <v>375</v>
      </c>
      <c r="E11" s="99"/>
      <c r="F11" s="99"/>
      <c r="G11" s="100"/>
      <c r="H11" s="100"/>
      <c r="I11" s="100"/>
      <c r="J11" s="99"/>
      <c r="K11" s="99"/>
      <c r="M11" s="120"/>
      <c r="N11" s="8">
        <v>0.1</v>
      </c>
      <c r="O11" s="7">
        <f>N11*D46</f>
        <v>41.400000000000006</v>
      </c>
      <c r="P11" s="34">
        <f>Q11*O11/(D46-O11)</f>
        <v>0.0011111111111111113</v>
      </c>
      <c r="Q11" s="31">
        <f>D25</f>
        <v>0.01</v>
      </c>
      <c r="R11" s="34">
        <f>Q11*(D43-O11)/(D46-O11)</f>
        <v>-0.0001449275362318842</v>
      </c>
      <c r="S11" s="31">
        <f>1000*0.85*D1*(P11-(250*P11^2))</f>
        <v>10.615162037037036</v>
      </c>
      <c r="T11" s="31">
        <f>D8</f>
        <v>326.0869565217392</v>
      </c>
      <c r="U11" s="31">
        <f>MAX(R11*D31,-D5)</f>
        <v>-29.855072463768142</v>
      </c>
      <c r="V11" s="36">
        <f>(S11*D52*0.8*O11)-((D38*T11)+(D36*U11))</f>
        <v>-27825.24818840582</v>
      </c>
      <c r="W11" s="36">
        <f>((S11*D52*0.8*O11)*((0.5*(D46+D40))-(0.4*O11)))+(((D38*T11)-(D36*U11))*0.5*(D46-D43))</f>
        <v>75224424.98934783</v>
      </c>
      <c r="X11" s="18">
        <f t="shared" si="0"/>
        <v>-27.825248188405823</v>
      </c>
      <c r="Y11" s="19">
        <f t="shared" si="1"/>
        <v>75.22442498934782</v>
      </c>
    </row>
    <row r="12" spans="1:25" ht="13.5" thickBot="1">
      <c r="A12" s="177"/>
      <c r="B12" s="142"/>
      <c r="C12" s="168"/>
      <c r="D12" s="163"/>
      <c r="E12" s="99"/>
      <c r="F12" s="99"/>
      <c r="G12" s="100"/>
      <c r="H12" s="100"/>
      <c r="I12" s="100"/>
      <c r="J12" s="99"/>
      <c r="K12" s="99"/>
      <c r="M12" s="120"/>
      <c r="N12" s="2">
        <v>0.15</v>
      </c>
      <c r="O12" s="7">
        <f>N12*D46</f>
        <v>62.099999999999994</v>
      </c>
      <c r="P12" s="34">
        <f>Q12*O12/(D46-O12)</f>
        <v>0.0017647058823529412</v>
      </c>
      <c r="Q12" s="31">
        <f>D25</f>
        <v>0.01</v>
      </c>
      <c r="R12" s="34">
        <f>Q12*(D43-O12)/(D46-O12)</f>
        <v>-0.0007416879795396419</v>
      </c>
      <c r="S12" s="31">
        <f>1000*0.85*D1*(P12-(250*P12^2))</f>
        <v>13.045036764705879</v>
      </c>
      <c r="T12" s="31">
        <f>D8</f>
        <v>326.0869565217392</v>
      </c>
      <c r="U12" s="31">
        <f>MAX(R12*D31,-D5)</f>
        <v>-152.78772378516624</v>
      </c>
      <c r="V12" s="36">
        <f>(S12*D52*0.8*O12)-((D38*T12)+(D36*U12))</f>
        <v>182802.92375319675</v>
      </c>
      <c r="W12" s="36">
        <f>((S12*D52*0.8*O12)*((0.5*(D46+D40))-(0.4*O12)))+(((D38*T12)-(D36*U12))*0.5*(D46-D43))</f>
        <v>115212223.51204601</v>
      </c>
      <c r="X12" s="18">
        <f t="shared" si="0"/>
        <v>182.80292375319675</v>
      </c>
      <c r="Y12" s="19">
        <f t="shared" si="1"/>
        <v>115.21222351204601</v>
      </c>
    </row>
    <row r="13" spans="1:25" ht="13.5" thickTop="1">
      <c r="A13" s="177"/>
      <c r="B13" s="153" t="s">
        <v>12</v>
      </c>
      <c r="C13" s="180" t="s">
        <v>24</v>
      </c>
      <c r="D13" s="173">
        <v>0.0035</v>
      </c>
      <c r="E13" s="100"/>
      <c r="F13" s="100"/>
      <c r="G13" s="100"/>
      <c r="H13" s="100"/>
      <c r="I13" s="100"/>
      <c r="J13" s="100"/>
      <c r="K13" s="100"/>
      <c r="M13" s="11"/>
      <c r="N13" s="14">
        <f>1/6</f>
        <v>0.16666666666666666</v>
      </c>
      <c r="O13" s="15">
        <f>N13*D46</f>
        <v>69</v>
      </c>
      <c r="P13" s="63">
        <f>Q13*O13/(D46-O13)</f>
        <v>0.002</v>
      </c>
      <c r="Q13" s="15">
        <f>D25</f>
        <v>0.01</v>
      </c>
      <c r="R13" s="35">
        <f>Q13*(D43-O13)/(D46-O13)</f>
        <v>-0.0009565217391304348</v>
      </c>
      <c r="S13" s="15">
        <f>1000*0.85*D1*(P13-(250*P13^2))</f>
        <v>13.228124999999999</v>
      </c>
      <c r="T13" s="15">
        <f>D8</f>
        <v>326.0869565217392</v>
      </c>
      <c r="U13" s="15">
        <f>MAX(R13*D31,-D5)</f>
        <v>-197.04347826086956</v>
      </c>
      <c r="V13" s="37">
        <f>(S13*D52*0.8*O13)-((D38*T13)+(D36*U13))</f>
        <v>247547.3206521738</v>
      </c>
      <c r="W13" s="37">
        <f>((S13*D52*0.8*O13)*((0.5*(D46+D40))-(0.4*O13)))+(((D38*T13)-(D36*U13))*0.5*(D46-D43))</f>
        <v>126954397.34021738</v>
      </c>
      <c r="X13" s="20">
        <f t="shared" si="0"/>
        <v>247.5473206521738</v>
      </c>
      <c r="Y13" s="21">
        <f t="shared" si="1"/>
        <v>126.95439734021738</v>
      </c>
    </row>
    <row r="14" spans="1:25" ht="12.75">
      <c r="A14" s="177"/>
      <c r="B14" s="139"/>
      <c r="C14" s="165"/>
      <c r="D14" s="174"/>
      <c r="E14" s="100"/>
      <c r="F14" s="100"/>
      <c r="G14" s="100"/>
      <c r="H14" s="100"/>
      <c r="I14" s="100"/>
      <c r="J14" s="100"/>
      <c r="K14" s="100"/>
      <c r="M14" s="120" t="s">
        <v>13</v>
      </c>
      <c r="N14" s="9">
        <v>0.2</v>
      </c>
      <c r="O14" s="39">
        <f>N14*D46</f>
        <v>82.80000000000001</v>
      </c>
      <c r="P14" s="48">
        <f>Q14*O14/(D46-O14)</f>
        <v>0.0025000000000000005</v>
      </c>
      <c r="Q14" s="39">
        <f>D25</f>
        <v>0.01</v>
      </c>
      <c r="R14" s="48">
        <f>Q14*(D43-O14)/(D46-O14)</f>
        <v>-0.00141304347826087</v>
      </c>
      <c r="S14" s="39">
        <f>0.85*D1</f>
        <v>13.228124999999999</v>
      </c>
      <c r="T14" s="39">
        <f>D8</f>
        <v>326.0869565217392</v>
      </c>
      <c r="U14" s="39">
        <f>MAX(R14*D31,-D5)</f>
        <v>-291.08695652173924</v>
      </c>
      <c r="V14" s="45">
        <f>(S14*D52*0.8*O14)-((D38*T14)+(D36*U14))</f>
        <v>372323.94999999995</v>
      </c>
      <c r="W14" s="45">
        <f>((S14*D52*0.8*O14)*((0.5*(D46+D40))-(0.4*O14)))+(((D38*T14)-(D36*U14))*0.5*(D46-D43))</f>
        <v>148912648.01295653</v>
      </c>
      <c r="X14" s="52">
        <f>V14/1000</f>
        <v>372.32394999999997</v>
      </c>
      <c r="Y14" s="60">
        <f>W14/POWER(1000,2)</f>
        <v>148.91264801295654</v>
      </c>
    </row>
    <row r="15" spans="1:25" ht="12.75">
      <c r="A15" s="177"/>
      <c r="B15" s="139"/>
      <c r="C15" s="166"/>
      <c r="D15" s="175"/>
      <c r="E15" s="100"/>
      <c r="F15" s="100"/>
      <c r="G15" s="100"/>
      <c r="H15" s="100"/>
      <c r="I15" s="100"/>
      <c r="J15" s="100"/>
      <c r="K15" s="100"/>
      <c r="M15" s="120"/>
      <c r="N15" s="51">
        <f>O15/D46</f>
        <v>0.211734693877551</v>
      </c>
      <c r="O15" s="39">
        <f>((-R15*D46)+(Q15*D43))/(-R15+Q15)</f>
        <v>87.65816326530611</v>
      </c>
      <c r="P15" s="34">
        <f>Q15*O15/(D46-O15)</f>
        <v>0.002686084142394822</v>
      </c>
      <c r="Q15" s="31">
        <f>D25</f>
        <v>0.01</v>
      </c>
      <c r="R15" s="53">
        <f>-D22</f>
        <v>-0.001582946390882229</v>
      </c>
      <c r="S15" s="31">
        <f>0.85*D1</f>
        <v>13.228124999999999</v>
      </c>
      <c r="T15" s="31">
        <f>D8</f>
        <v>326.0869565217392</v>
      </c>
      <c r="U15" s="31">
        <f>MAX(R15*D31,-D5)</f>
        <v>-326.0869565217392</v>
      </c>
      <c r="V15" s="36">
        <f>(S15*D52*0.8*O15)-((D38*T15)+(D36*U15))</f>
        <v>417439.1307397958</v>
      </c>
      <c r="W15" s="36">
        <f>((S15*D52*0.8*O15)*((0.5*(D46+D40))-(0.4*O15)))+(((D38*T15)-(D36*U15))*0.5*(D46-D43))</f>
        <v>156694851.513124</v>
      </c>
      <c r="X15" s="18">
        <f t="shared" si="0"/>
        <v>417.4391307397958</v>
      </c>
      <c r="Y15" s="19">
        <f t="shared" si="1"/>
        <v>156.69485151312398</v>
      </c>
    </row>
    <row r="16" spans="1:25" ht="12.75">
      <c r="A16" s="177"/>
      <c r="B16" s="139"/>
      <c r="C16" s="164" t="s">
        <v>25</v>
      </c>
      <c r="D16" s="179">
        <v>0.002</v>
      </c>
      <c r="E16" s="100"/>
      <c r="F16" s="100"/>
      <c r="G16" s="100"/>
      <c r="H16" s="100"/>
      <c r="I16" s="100"/>
      <c r="J16" s="100"/>
      <c r="K16" s="100"/>
      <c r="M16" s="120"/>
      <c r="N16" s="2">
        <v>0.25</v>
      </c>
      <c r="O16" s="7">
        <f>N16*D46</f>
        <v>103.5</v>
      </c>
      <c r="P16" s="34">
        <f>Q16*O16/(D46-O16)</f>
        <v>0.003333333333333333</v>
      </c>
      <c r="Q16" s="31">
        <f>D25</f>
        <v>0.01</v>
      </c>
      <c r="R16" s="34">
        <f>Q16*(D43-O16)/(D46-O16)</f>
        <v>-0.002173913043478261</v>
      </c>
      <c r="S16" s="31">
        <f>0.85*D1</f>
        <v>13.228124999999999</v>
      </c>
      <c r="T16" s="31">
        <f>D8</f>
        <v>326.0869565217392</v>
      </c>
      <c r="U16" s="31">
        <f>MAX(R16*D31,-D5)</f>
        <v>-326.0869565217392</v>
      </c>
      <c r="V16" s="36">
        <f>(S16*D52*0.8*O16)-((D38*T16)+(D36*U16))</f>
        <v>492879.9374999999</v>
      </c>
      <c r="W16" s="36">
        <f>((S16*D52*0.8*O16)*((0.5*(D46+D40))-(0.4*O16)))+(((D38*T16)-(D36*U16))*0.5*(D46-D43))</f>
        <v>167900582.61195654</v>
      </c>
      <c r="X16" s="18">
        <f t="shared" si="0"/>
        <v>492.87993749999987</v>
      </c>
      <c r="Y16" s="19">
        <f t="shared" si="1"/>
        <v>167.90058261195654</v>
      </c>
    </row>
    <row r="17" spans="1:25" ht="12.75">
      <c r="A17" s="177"/>
      <c r="B17" s="139"/>
      <c r="C17" s="165"/>
      <c r="D17" s="174"/>
      <c r="E17" s="100"/>
      <c r="F17" s="100"/>
      <c r="G17" s="100"/>
      <c r="H17" s="100"/>
      <c r="I17" s="100"/>
      <c r="J17" s="100"/>
      <c r="K17" s="100"/>
      <c r="M17" s="11"/>
      <c r="N17" s="14">
        <f>1/(1+D25/D13)</f>
        <v>0.25925925925925924</v>
      </c>
      <c r="O17" s="15">
        <f>N17*D46</f>
        <v>107.33333333333333</v>
      </c>
      <c r="P17" s="63">
        <f>Q17*O17/(D46-O17)</f>
        <v>0.0034999999999999996</v>
      </c>
      <c r="Q17" s="62">
        <f>D25</f>
        <v>0.01</v>
      </c>
      <c r="R17" s="35">
        <f>Q17*(D43-O17)/(D46-O17)</f>
        <v>-0.0023260869565217388</v>
      </c>
      <c r="S17" s="15">
        <f>0.85*D1</f>
        <v>13.228124999999999</v>
      </c>
      <c r="T17" s="15">
        <f>D8</f>
        <v>326.0869565217392</v>
      </c>
      <c r="U17" s="15">
        <f>MAX(R17*D31,-D5)</f>
        <v>-326.0869565217392</v>
      </c>
      <c r="V17" s="37">
        <f>(S17*D52*0.8*O17)-((D38*T17)+(D36*U17))</f>
        <v>511134.7499999999</v>
      </c>
      <c r="W17" s="37">
        <f>((S17*D52*0.8*O17)*((0.5*(D46+D40))-(0.4*O17)))+(((D38*T17)-(D36*U17))*0.5*(D46-D43))</f>
        <v>170468426.23695654</v>
      </c>
      <c r="X17" s="20">
        <f t="shared" si="0"/>
        <v>511.1347499999999</v>
      </c>
      <c r="Y17" s="21">
        <f t="shared" si="1"/>
        <v>170.46842623695653</v>
      </c>
    </row>
    <row r="18" spans="1:25" ht="13.5" thickBot="1">
      <c r="A18" s="177"/>
      <c r="B18" s="139"/>
      <c r="C18" s="181"/>
      <c r="D18" s="196"/>
      <c r="E18" s="100"/>
      <c r="F18" s="100"/>
      <c r="G18" s="100"/>
      <c r="H18" s="100"/>
      <c r="I18" s="100"/>
      <c r="J18" s="100"/>
      <c r="K18" s="100"/>
      <c r="M18" s="120">
        <v>3</v>
      </c>
      <c r="N18" s="8">
        <v>0.3</v>
      </c>
      <c r="O18" s="45">
        <f>N18*D46</f>
        <v>124.19999999999999</v>
      </c>
      <c r="P18" s="38">
        <f>D13</f>
        <v>0.0035</v>
      </c>
      <c r="Q18" s="34">
        <f>P18*(D46-O18)/O18</f>
        <v>0.008166666666666668</v>
      </c>
      <c r="R18" s="34">
        <f>P18*(D43-O18)/O18</f>
        <v>-0.002485507246376812</v>
      </c>
      <c r="S18" s="31">
        <f>0.85*D1</f>
        <v>13.228124999999999</v>
      </c>
      <c r="T18" s="39">
        <f>D8</f>
        <v>326.0869565217392</v>
      </c>
      <c r="U18" s="39">
        <f>MAX(R18*D31,-D5)</f>
        <v>-326.0869565217392</v>
      </c>
      <c r="V18" s="45">
        <f>(S18*D52*0.8*O18)-((D38*T18)+(D36*U18))</f>
        <v>591455.9249999998</v>
      </c>
      <c r="W18" s="45">
        <f>((S18*D52*0.8*O18)*((0.5*(D46+D40))-(0.4*O18)))+(((D38*T18)-(D36*U18))*0.5*(D46-D43))</f>
        <v>181101878.85795653</v>
      </c>
      <c r="X18" s="18">
        <f t="shared" si="0"/>
        <v>591.4559249999999</v>
      </c>
      <c r="Y18" s="19">
        <f t="shared" si="1"/>
        <v>181.10187885795654</v>
      </c>
    </row>
    <row r="19" spans="1:25" ht="13.5" thickTop="1">
      <c r="A19" s="177"/>
      <c r="B19" s="139"/>
      <c r="C19" s="180" t="s">
        <v>26</v>
      </c>
      <c r="D19" s="173">
        <v>0.01</v>
      </c>
      <c r="E19" s="100"/>
      <c r="F19" s="100"/>
      <c r="G19" s="100"/>
      <c r="H19" s="100"/>
      <c r="I19" s="100"/>
      <c r="J19" s="100"/>
      <c r="K19" s="100"/>
      <c r="M19" s="120"/>
      <c r="N19" s="2">
        <v>0.35</v>
      </c>
      <c r="O19" s="45">
        <f>N19*D46</f>
        <v>144.89999999999998</v>
      </c>
      <c r="P19" s="38">
        <f>D13</f>
        <v>0.0035</v>
      </c>
      <c r="Q19" s="34">
        <f>P19*(D46-O19)/O19</f>
        <v>0.0065000000000000014</v>
      </c>
      <c r="R19" s="34">
        <f>P19*(D43-O19)/O19</f>
        <v>-0.002630434782608696</v>
      </c>
      <c r="S19" s="31">
        <f>0.85*D1</f>
        <v>13.228124999999999</v>
      </c>
      <c r="T19" s="39">
        <f>D8</f>
        <v>326.0869565217392</v>
      </c>
      <c r="U19" s="39">
        <f>MAX(R19*D31,-D5)</f>
        <v>-326.0869565217392</v>
      </c>
      <c r="V19" s="45">
        <f>(S19*D52*0.8*O19)-((D38*T19)+(D36*U19))</f>
        <v>690031.9124999997</v>
      </c>
      <c r="W19" s="45">
        <f>((S19*D52*0.8*O19)*((0.5*(D46+D40))-(0.4*O19)))+(((D38*T19)-(D36*U19))*0.5*(D46-D43))</f>
        <v>192670756.75095654</v>
      </c>
      <c r="X19" s="18">
        <f t="shared" si="0"/>
        <v>690.0319124999997</v>
      </c>
      <c r="Y19" s="19">
        <f t="shared" si="1"/>
        <v>192.67075675095654</v>
      </c>
    </row>
    <row r="20" spans="1:25" ht="12.75">
      <c r="A20" s="177"/>
      <c r="B20" s="139"/>
      <c r="C20" s="165"/>
      <c r="D20" s="174"/>
      <c r="E20" s="100"/>
      <c r="F20" s="100"/>
      <c r="G20" s="100"/>
      <c r="H20" s="100"/>
      <c r="I20" s="100"/>
      <c r="J20" s="100"/>
      <c r="K20" s="100"/>
      <c r="M20" s="120"/>
      <c r="N20" s="8">
        <v>0.4</v>
      </c>
      <c r="O20" s="45">
        <f>N20*D46</f>
        <v>165.60000000000002</v>
      </c>
      <c r="P20" s="38">
        <f>D13</f>
        <v>0.0035</v>
      </c>
      <c r="Q20" s="34">
        <f>P20*(D46-O20)/O20</f>
        <v>0.005249999999999999</v>
      </c>
      <c r="R20" s="34">
        <f>P20*(D43-O20)/O20</f>
        <v>-0.002739130434782609</v>
      </c>
      <c r="S20" s="31">
        <f>0.85*D1</f>
        <v>13.228124999999999</v>
      </c>
      <c r="T20" s="39">
        <f>D8</f>
        <v>326.0869565217392</v>
      </c>
      <c r="U20" s="39">
        <f>MAX(R20*D31,-D5)</f>
        <v>-326.0869565217392</v>
      </c>
      <c r="V20" s="45">
        <f>(S20*D52*0.8*O20)-((D38*T20)+(D36*U20))</f>
        <v>788607.8999999999</v>
      </c>
      <c r="W20" s="45">
        <f>((S20*D52*0.8*O20)*((0.5*(D46+D40))-(0.4*O20)))+(((D38*T20)-(D36*U20))*0.5*(D46-D43))</f>
        <v>202607216.29095653</v>
      </c>
      <c r="X20" s="18">
        <f t="shared" si="0"/>
        <v>788.6078999999999</v>
      </c>
      <c r="Y20" s="19">
        <f t="shared" si="1"/>
        <v>202.60721629095653</v>
      </c>
    </row>
    <row r="21" spans="1:25" ht="12.75">
      <c r="A21" s="177"/>
      <c r="B21" s="139"/>
      <c r="C21" s="166"/>
      <c r="D21" s="175"/>
      <c r="E21" s="100"/>
      <c r="F21" s="100"/>
      <c r="G21" s="100"/>
      <c r="H21" s="100"/>
      <c r="I21" s="100"/>
      <c r="J21" s="100"/>
      <c r="K21" s="100"/>
      <c r="M21" s="120"/>
      <c r="N21" s="2">
        <v>0.45</v>
      </c>
      <c r="O21" s="45">
        <f>N21*D46</f>
        <v>186.3</v>
      </c>
      <c r="P21" s="38">
        <f>D13</f>
        <v>0.0035</v>
      </c>
      <c r="Q21" s="34">
        <f>P21*(D46-O21)/O21</f>
        <v>0.004277777777777777</v>
      </c>
      <c r="R21" s="34">
        <f>P21*(D43-O21)/O21</f>
        <v>-0.002823671497584541</v>
      </c>
      <c r="S21" s="31">
        <f>0.85*D1</f>
        <v>13.228124999999999</v>
      </c>
      <c r="T21" s="39">
        <f>D8</f>
        <v>326.0869565217392</v>
      </c>
      <c r="U21" s="39">
        <f>MAX(R21*D31,-D5)</f>
        <v>-326.0869565217392</v>
      </c>
      <c r="V21" s="45">
        <f>(S21*D52*0.8*O21)-((D38*T21)+(D36*U21))</f>
        <v>887183.8874999998</v>
      </c>
      <c r="W21" s="45">
        <f>((S21*D52*0.8*O21)*((0.5*(D46+D40))-(0.4*O21)))+(((D38*T21)-(D36*U21))*0.5*(D46-D43))</f>
        <v>210911257.47795653</v>
      </c>
      <c r="X21" s="18">
        <f t="shared" si="0"/>
        <v>887.1838874999999</v>
      </c>
      <c r="Y21" s="19">
        <f t="shared" si="1"/>
        <v>210.91125747795653</v>
      </c>
    </row>
    <row r="22" spans="1:25" ht="12.75">
      <c r="A22" s="177"/>
      <c r="B22" s="139"/>
      <c r="C22" s="164" t="s">
        <v>27</v>
      </c>
      <c r="D22" s="179">
        <f>D5/D31</f>
        <v>0.001582946390882229</v>
      </c>
      <c r="E22" s="100"/>
      <c r="F22" s="100"/>
      <c r="G22" s="100"/>
      <c r="H22" s="100"/>
      <c r="I22" s="100"/>
      <c r="J22" s="100"/>
      <c r="K22" s="100"/>
      <c r="M22" s="120"/>
      <c r="N22" s="8">
        <v>0.5</v>
      </c>
      <c r="O22" s="45">
        <f>N22*D46</f>
        <v>207</v>
      </c>
      <c r="P22" s="38">
        <f>D13</f>
        <v>0.0035</v>
      </c>
      <c r="Q22" s="34">
        <f>P22*(D46-O22)/O22</f>
        <v>0.0035</v>
      </c>
      <c r="R22" s="34">
        <f>P22*(D43-O22)/O22</f>
        <v>-0.0028913043478260873</v>
      </c>
      <c r="S22" s="31">
        <f>0.85*D1</f>
        <v>13.228124999999999</v>
      </c>
      <c r="T22" s="39">
        <f>D8</f>
        <v>326.0869565217392</v>
      </c>
      <c r="U22" s="39">
        <f>MAX(R22*D31,-D5)</f>
        <v>-326.0869565217392</v>
      </c>
      <c r="V22" s="45">
        <f>(S22*D52*0.8*O22)-((D38*T22)+(D36*U22))</f>
        <v>985759.8749999998</v>
      </c>
      <c r="W22" s="45">
        <f>((S22*D52*0.8*O22)*((0.5*(D46+D40))-(0.4*O22)))+(((D38*T22)-(D36*U22))*0.5*(D46-D43))</f>
        <v>217582880.31195652</v>
      </c>
      <c r="X22" s="18">
        <f t="shared" si="0"/>
        <v>985.7598749999997</v>
      </c>
      <c r="Y22" s="19">
        <f t="shared" si="1"/>
        <v>217.58288031195653</v>
      </c>
    </row>
    <row r="23" spans="1:25" ht="12.75">
      <c r="A23" s="177"/>
      <c r="B23" s="139"/>
      <c r="C23" s="165"/>
      <c r="D23" s="174"/>
      <c r="E23" s="100"/>
      <c r="F23" s="100"/>
      <c r="G23" s="100"/>
      <c r="H23" s="100"/>
      <c r="I23" s="100"/>
      <c r="J23" s="100"/>
      <c r="K23" s="100"/>
      <c r="M23" s="120"/>
      <c r="N23" s="2">
        <v>0.55</v>
      </c>
      <c r="O23" s="45">
        <f>N23*D46</f>
        <v>227.70000000000002</v>
      </c>
      <c r="P23" s="38">
        <f>D13</f>
        <v>0.0035</v>
      </c>
      <c r="Q23" s="34">
        <f>P23*(D46-O23)/O23</f>
        <v>0.002863636363636363</v>
      </c>
      <c r="R23" s="34">
        <f>P23*(D43-O23)/O23</f>
        <v>-0.0029466403162055335</v>
      </c>
      <c r="S23" s="31">
        <f>0.85*D1</f>
        <v>13.228124999999999</v>
      </c>
      <c r="T23" s="39">
        <f>D8</f>
        <v>326.0869565217392</v>
      </c>
      <c r="U23" s="39">
        <f>MAX(R23*D31,-D5)</f>
        <v>-326.0869565217392</v>
      </c>
      <c r="V23" s="45">
        <f>(S23*D52*0.8*O23)-((D38*T23)+(D36*U23))</f>
        <v>1084335.8624999998</v>
      </c>
      <c r="W23" s="45">
        <f>((S23*D52*0.8*O23)*((0.5*(D46+D40))-(0.4*O23)))+(((D38*T23)-(D36*U23))*0.5*(D46-D43))</f>
        <v>222622084.79295653</v>
      </c>
      <c r="X23" s="18">
        <f t="shared" si="0"/>
        <v>1084.3358624999998</v>
      </c>
      <c r="Y23" s="19">
        <f t="shared" si="1"/>
        <v>222.62208479295654</v>
      </c>
    </row>
    <row r="24" spans="1:25" ht="12.75">
      <c r="A24" s="177"/>
      <c r="B24" s="139"/>
      <c r="C24" s="166"/>
      <c r="D24" s="175"/>
      <c r="E24" s="100"/>
      <c r="F24" s="100"/>
      <c r="G24" s="100"/>
      <c r="H24" s="100"/>
      <c r="I24" s="100"/>
      <c r="J24" s="100"/>
      <c r="K24" s="100"/>
      <c r="M24" s="120"/>
      <c r="N24" s="8">
        <v>0.6</v>
      </c>
      <c r="O24" s="45">
        <f>N24*D46</f>
        <v>248.39999999999998</v>
      </c>
      <c r="P24" s="38">
        <f>D13</f>
        <v>0.0035</v>
      </c>
      <c r="Q24" s="34">
        <f>P24*(D46-O24)/O24</f>
        <v>0.002333333333333334</v>
      </c>
      <c r="R24" s="34">
        <f>P24*(D43-O24)/O24</f>
        <v>-0.0029927536231884057</v>
      </c>
      <c r="S24" s="31">
        <f>0.85*D1</f>
        <v>13.228124999999999</v>
      </c>
      <c r="T24" s="39">
        <f>D8</f>
        <v>326.0869565217392</v>
      </c>
      <c r="U24" s="39">
        <f>MAX(R24*D31,-D5)</f>
        <v>-326.0869565217392</v>
      </c>
      <c r="V24" s="45">
        <f>(S24*D52*0.8*O24)-((D38*T24)+(D36*U24))</f>
        <v>1182911.8499999996</v>
      </c>
      <c r="W24" s="45">
        <f>((S24*D52*0.8*O24)*((0.5*(D46+D40))-(0.4*O24)))+(((D38*T24)-(D36*U24))*0.5*(D46-D43))</f>
        <v>226028870.9209565</v>
      </c>
      <c r="X24" s="18">
        <f t="shared" si="0"/>
        <v>1182.9118499999997</v>
      </c>
      <c r="Y24" s="19">
        <f t="shared" si="1"/>
        <v>226.02887092095648</v>
      </c>
    </row>
    <row r="25" spans="1:25" ht="12.75">
      <c r="A25" s="177"/>
      <c r="B25" s="139"/>
      <c r="C25" s="164" t="s">
        <v>28</v>
      </c>
      <c r="D25" s="179">
        <v>0.01</v>
      </c>
      <c r="E25" s="100"/>
      <c r="F25" s="100"/>
      <c r="G25" s="100"/>
      <c r="H25" s="100"/>
      <c r="I25" s="100"/>
      <c r="J25" s="100"/>
      <c r="K25" s="100"/>
      <c r="M25" s="120"/>
      <c r="N25" s="2">
        <v>0.65</v>
      </c>
      <c r="O25" s="45">
        <f>N25*D46</f>
        <v>269.1</v>
      </c>
      <c r="P25" s="38">
        <f>D13</f>
        <v>0.0035</v>
      </c>
      <c r="Q25" s="34">
        <f>P25*(D46-O25)/O25</f>
        <v>0.001884615384615384</v>
      </c>
      <c r="R25" s="34">
        <f>P25*(D43-O25)/O25</f>
        <v>-0.003031772575250836</v>
      </c>
      <c r="S25" s="31">
        <f>0.85*D1</f>
        <v>13.228124999999999</v>
      </c>
      <c r="T25" s="39">
        <f>D8</f>
        <v>326.0869565217392</v>
      </c>
      <c r="U25" s="39">
        <f>MAX(R25*D31,-D5)</f>
        <v>-326.0869565217392</v>
      </c>
      <c r="V25" s="45">
        <f>(S25*D52*0.8*O25)-((D38*T25)+(D36*U25))</f>
        <v>1281487.8375</v>
      </c>
      <c r="W25" s="45">
        <f>((S25*D52*0.8*O25)*((0.5*(D46+D40))-(0.4*O25)))+(((D38*T25)-(D36*U25))*0.5*(D46-D43))</f>
        <v>227803238.69595653</v>
      </c>
      <c r="X25" s="18">
        <f t="shared" si="0"/>
        <v>1281.4878374999998</v>
      </c>
      <c r="Y25" s="19">
        <f t="shared" si="1"/>
        <v>227.80323869595654</v>
      </c>
    </row>
    <row r="26" spans="1:25" ht="12.75">
      <c r="A26" s="177"/>
      <c r="B26" s="139"/>
      <c r="C26" s="165"/>
      <c r="D26" s="174"/>
      <c r="E26" s="100"/>
      <c r="F26" s="100"/>
      <c r="G26" s="100"/>
      <c r="H26" s="100"/>
      <c r="I26" s="100"/>
      <c r="J26" s="100"/>
      <c r="K26" s="100"/>
      <c r="M26" s="11"/>
      <c r="N26" s="14">
        <f>1/(1+D28/D13)</f>
        <v>0.6885770045260142</v>
      </c>
      <c r="O26" s="15">
        <f>N26*D46</f>
        <v>285.0708798737699</v>
      </c>
      <c r="P26" s="46">
        <f>D13</f>
        <v>0.0035</v>
      </c>
      <c r="Q26" s="61">
        <f>P26*(D46-O26)/O26</f>
        <v>0.0015829463908822283</v>
      </c>
      <c r="R26" s="35">
        <f>P26*(D43-O26)/O26</f>
        <v>-0.003058004661662415</v>
      </c>
      <c r="S26" s="15">
        <f>0.85*D1</f>
        <v>13.228124999999999</v>
      </c>
      <c r="T26" s="15">
        <f>Q26*D31</f>
        <v>326.086956521739</v>
      </c>
      <c r="U26" s="15">
        <f>MAX(R26*D31,-D5)</f>
        <v>-326.0869565217392</v>
      </c>
      <c r="V26" s="37">
        <f>(S26*D52*0.8*O26)-((D38*T26)+(D36*U26))</f>
        <v>1357543.1638188763</v>
      </c>
      <c r="W26" s="37">
        <f>((S26*D52*0.8*O26)*((0.5*(D46+D40))-(0.4*O26)))+(((D38*T26)-(D36*U26))*0.5*(D46-D43))</f>
        <v>228056628.2756163</v>
      </c>
      <c r="X26" s="20">
        <f t="shared" si="0"/>
        <v>1357.5431638188763</v>
      </c>
      <c r="Y26" s="21">
        <f t="shared" si="1"/>
        <v>228.05662827561628</v>
      </c>
    </row>
    <row r="27" spans="1:25" ht="12.75">
      <c r="A27" s="177"/>
      <c r="B27" s="139"/>
      <c r="C27" s="166"/>
      <c r="D27" s="175"/>
      <c r="E27" s="100"/>
      <c r="F27" s="100"/>
      <c r="G27" s="100"/>
      <c r="H27" s="100"/>
      <c r="I27" s="100"/>
      <c r="J27" s="100"/>
      <c r="K27" s="100"/>
      <c r="M27" s="120">
        <v>4</v>
      </c>
      <c r="N27" s="8">
        <v>0.7</v>
      </c>
      <c r="O27" s="45">
        <f>N27*D46</f>
        <v>289.79999999999995</v>
      </c>
      <c r="P27" s="38">
        <f>D13</f>
        <v>0.0035</v>
      </c>
      <c r="Q27" s="34">
        <f>P27*(D46-O27)/O27</f>
        <v>0.0015000000000000007</v>
      </c>
      <c r="R27" s="34">
        <f>P27*(D43-O27)/O27</f>
        <v>-0.0030652173913043477</v>
      </c>
      <c r="S27" s="31">
        <f>0.85*D1</f>
        <v>13.228124999999999</v>
      </c>
      <c r="T27" s="31">
        <f>Q27*D31</f>
        <v>309.0000000000001</v>
      </c>
      <c r="U27" s="39">
        <f>MAX(R27*D31,-D5)</f>
        <v>-326.0869565217392</v>
      </c>
      <c r="V27" s="45">
        <f>(S27*D52*0.8*O27)-((D38*T27)+(D36*U27))</f>
        <v>1390794.4336956516</v>
      </c>
      <c r="W27" s="45">
        <f>((S27*D52*0.8*O27)*((0.5*(D46+D40))-(0.4*O27)))+(((D38*T27)-(D36*U27))*0.5*(D46-D43))</f>
        <v>225917103.07447824</v>
      </c>
      <c r="X27" s="18">
        <f t="shared" si="0"/>
        <v>1390.7944336956516</v>
      </c>
      <c r="Y27" s="19">
        <f t="shared" si="1"/>
        <v>225.91710307447823</v>
      </c>
    </row>
    <row r="28" spans="1:25" ht="12.75">
      <c r="A28" s="177"/>
      <c r="B28" s="139"/>
      <c r="C28" s="164" t="s">
        <v>29</v>
      </c>
      <c r="D28" s="179">
        <f>D8/D31</f>
        <v>0.001582946390882229</v>
      </c>
      <c r="E28" s="100"/>
      <c r="F28" s="100"/>
      <c r="G28" s="100"/>
      <c r="H28" s="100"/>
      <c r="I28" s="100"/>
      <c r="J28" s="100"/>
      <c r="K28" s="100"/>
      <c r="M28" s="120"/>
      <c r="N28" s="2">
        <v>0.75</v>
      </c>
      <c r="O28" s="45">
        <f>N28*D46</f>
        <v>310.5</v>
      </c>
      <c r="P28" s="38">
        <f>D13</f>
        <v>0.0035</v>
      </c>
      <c r="Q28" s="34">
        <f>P28*(D46-O28)/O28</f>
        <v>0.0011666666666666668</v>
      </c>
      <c r="R28" s="34">
        <f>P28*(D43-O28)/O28</f>
        <v>-0.0030942028985507246</v>
      </c>
      <c r="S28" s="31">
        <f>0.85*D1</f>
        <v>13.228124999999999</v>
      </c>
      <c r="T28" s="31">
        <f>Q28*D31</f>
        <v>240.33333333333334</v>
      </c>
      <c r="U28" s="39">
        <f>MAX(R28*D31,-D5)</f>
        <v>-326.0869565217392</v>
      </c>
      <c r="V28" s="45">
        <f>(S28*D52*0.8*O28)-((D38*T28)+(D36*U28))</f>
        <v>1532493.0878623186</v>
      </c>
      <c r="W28" s="45">
        <f>((S28*D52*0.8*O28)*((0.5*(D46+D40))-(0.4*O28)))+(((D38*T28)-(D36*U28))*0.5*(D46-D43))</f>
        <v>216276450.14347824</v>
      </c>
      <c r="X28" s="18">
        <f t="shared" si="0"/>
        <v>1532.4930878623186</v>
      </c>
      <c r="Y28" s="19">
        <f t="shared" si="1"/>
        <v>216.27645014347826</v>
      </c>
    </row>
    <row r="29" spans="1:25" ht="12.75">
      <c r="A29" s="177"/>
      <c r="B29" s="139"/>
      <c r="C29" s="165"/>
      <c r="D29" s="174"/>
      <c r="E29" s="100"/>
      <c r="F29" s="100"/>
      <c r="G29" s="99"/>
      <c r="H29" s="99"/>
      <c r="I29" s="99"/>
      <c r="J29" s="100"/>
      <c r="K29" s="100"/>
      <c r="M29" s="120"/>
      <c r="N29" s="8">
        <v>0.8</v>
      </c>
      <c r="O29" s="45">
        <f>N29*D46</f>
        <v>331.20000000000005</v>
      </c>
      <c r="P29" s="38">
        <f>D13</f>
        <v>0.0035</v>
      </c>
      <c r="Q29" s="34">
        <f>P29*(D46-O29)/O29</f>
        <v>0.0008749999999999994</v>
      </c>
      <c r="R29" s="34">
        <f>P29*(D43-O29)/O29</f>
        <v>-0.003119565217391304</v>
      </c>
      <c r="S29" s="31">
        <f>0.85*D1</f>
        <v>13.228124999999999</v>
      </c>
      <c r="T29" s="31">
        <f>Q29*D31</f>
        <v>180.24999999999986</v>
      </c>
      <c r="U29" s="39">
        <f>MAX(R29*D31,-D5)</f>
        <v>-326.0869565217392</v>
      </c>
      <c r="V29" s="45">
        <f>(S29*D52*0.8*O29)-((D38*T29)+(D36*U29))</f>
        <v>1668801.4086956521</v>
      </c>
      <c r="W29" s="45">
        <f>((S29*D52*0.8*O29)*((0.5*(D46+D40))-(0.4*O29)))+(((D38*T29)-(D36*U29))*0.5*(D46-D43))</f>
        <v>206022151.8594782</v>
      </c>
      <c r="X29" s="18">
        <f t="shared" si="0"/>
        <v>1668.801408695652</v>
      </c>
      <c r="Y29" s="19">
        <f t="shared" si="1"/>
        <v>206.0221518594782</v>
      </c>
    </row>
    <row r="30" spans="1:25" ht="12.75">
      <c r="A30" s="177"/>
      <c r="B30" s="156"/>
      <c r="C30" s="166"/>
      <c r="D30" s="175"/>
      <c r="E30" s="100"/>
      <c r="F30" s="100"/>
      <c r="G30" s="99"/>
      <c r="H30" s="99"/>
      <c r="I30" s="99"/>
      <c r="J30" s="100"/>
      <c r="K30" s="100"/>
      <c r="M30" s="120"/>
      <c r="N30" s="2">
        <v>0.85</v>
      </c>
      <c r="O30" s="45">
        <f>N30*D46</f>
        <v>351.9</v>
      </c>
      <c r="P30" s="38">
        <f>D13</f>
        <v>0.0035</v>
      </c>
      <c r="Q30" s="34">
        <f>P30*(D46-O30)/O30</f>
        <v>0.0006176470588235296</v>
      </c>
      <c r="R30" s="34">
        <f>P30*(D43-O30)/O30</f>
        <v>-0.0031419437340153454</v>
      </c>
      <c r="S30" s="31">
        <f>0.85*D1</f>
        <v>13.228124999999999</v>
      </c>
      <c r="T30" s="31">
        <f>Q30*D31</f>
        <v>127.2352941176471</v>
      </c>
      <c r="U30" s="39">
        <f>MAX(R30*D31,-D5)</f>
        <v>-326.0869565217392</v>
      </c>
      <c r="V30" s="45">
        <f>(S30*D52*0.8*O30)-((D38*T30)+(D36*U30))</f>
        <v>1800670.6314897696</v>
      </c>
      <c r="W30" s="45">
        <f>((S30*D52*0.8*O30)*((0.5*(D46+D40))-(0.4*O30)))+(((D38*T30)-(D36*U30))*0.5*(D46-D43))</f>
        <v>194974424.75189003</v>
      </c>
      <c r="X30" s="18">
        <f t="shared" si="0"/>
        <v>1800.6706314897694</v>
      </c>
      <c r="Y30" s="19">
        <f t="shared" si="1"/>
        <v>194.97442475189004</v>
      </c>
    </row>
    <row r="31" spans="1:25" ht="12.75">
      <c r="A31" s="177"/>
      <c r="B31" s="138" t="s">
        <v>17</v>
      </c>
      <c r="C31" s="197" t="s">
        <v>30</v>
      </c>
      <c r="D31" s="162">
        <v>206000</v>
      </c>
      <c r="E31" s="99"/>
      <c r="F31" s="99"/>
      <c r="G31" s="99"/>
      <c r="H31" s="99"/>
      <c r="I31" s="99"/>
      <c r="J31" s="99"/>
      <c r="K31" s="99"/>
      <c r="M31" s="120"/>
      <c r="N31" s="8">
        <v>0.9</v>
      </c>
      <c r="O31" s="45">
        <f>N31*D46</f>
        <v>372.6</v>
      </c>
      <c r="P31" s="38">
        <f>D13</f>
        <v>0.0035</v>
      </c>
      <c r="Q31" s="34">
        <f>P31*(D46-O31)/O31</f>
        <v>0.00038888888888888865</v>
      </c>
      <c r="R31" s="34">
        <f>P31*(D43-O31)/O31</f>
        <v>-0.003161835748792271</v>
      </c>
      <c r="S31" s="31">
        <f>0.85*D1</f>
        <v>13.228124999999999</v>
      </c>
      <c r="T31" s="31">
        <f>Q31*D31</f>
        <v>80.11111111111106</v>
      </c>
      <c r="U31" s="39">
        <f>MAX(R31*D31,-D5)</f>
        <v>-326.0869565217392</v>
      </c>
      <c r="V31" s="45">
        <f>(S31*D52*0.8*O31)-((D38*T31)+(D36*U31))</f>
        <v>1928840.6059178743</v>
      </c>
      <c r="W31" s="45">
        <f>((S31*D52*0.8*O31)*((0.5*(D46+D40))-(0.4*O31)))+(((D38*T31)-(D36*U31))*0.5*(D46-D43))</f>
        <v>182993437.2324782</v>
      </c>
      <c r="X31" s="18">
        <f t="shared" si="0"/>
        <v>1928.8406059178742</v>
      </c>
      <c r="Y31" s="19">
        <f t="shared" si="1"/>
        <v>182.99343723247821</v>
      </c>
    </row>
    <row r="32" spans="1:25" ht="12.75">
      <c r="A32" s="177"/>
      <c r="B32" s="139"/>
      <c r="C32" s="198"/>
      <c r="D32" s="182"/>
      <c r="E32" s="99"/>
      <c r="F32" s="99"/>
      <c r="G32" s="99"/>
      <c r="H32" s="99"/>
      <c r="I32" s="99"/>
      <c r="J32" s="99"/>
      <c r="K32" s="99"/>
      <c r="M32" s="120"/>
      <c r="N32" s="2">
        <v>0.95</v>
      </c>
      <c r="O32" s="45">
        <f>N32*D46</f>
        <v>393.29999999999995</v>
      </c>
      <c r="P32" s="38">
        <f>D13</f>
        <v>0.0035</v>
      </c>
      <c r="Q32" s="34">
        <f>P32*(D46-O32)/O32</f>
        <v>0.00018421052631578991</v>
      </c>
      <c r="R32" s="34">
        <f>P32*(D43-O32)/O32</f>
        <v>-0.0031796338672768877</v>
      </c>
      <c r="S32" s="31">
        <f>0.85*D1</f>
        <v>13.228124999999999</v>
      </c>
      <c r="T32" s="31">
        <f>Q32*D31</f>
        <v>37.94736842105272</v>
      </c>
      <c r="U32" s="39">
        <f>MAX(R32*D31,-D5)</f>
        <v>-326.0869565217392</v>
      </c>
      <c r="V32" s="45">
        <f>(S32*D52*0.8*O32)-((D38*T32)+(D36*U32))</f>
        <v>2053895.4238272307</v>
      </c>
      <c r="W32" s="45">
        <f>((S32*D52*0.8*O32)*((0.5*(D46+D40))-(0.4*O32)))+(((D38*T32)-(D36*U32))*0.5*(D46-D43))</f>
        <v>169968795.94210982</v>
      </c>
      <c r="X32" s="18">
        <f t="shared" si="0"/>
        <v>2053.895423827231</v>
      </c>
      <c r="Y32" s="19">
        <f t="shared" si="1"/>
        <v>169.96879594210984</v>
      </c>
    </row>
    <row r="33" spans="1:25" ht="12.75">
      <c r="A33" s="177"/>
      <c r="B33" s="139"/>
      <c r="C33" s="198"/>
      <c r="D33" s="182"/>
      <c r="E33" s="99"/>
      <c r="F33" s="99"/>
      <c r="G33" s="99"/>
      <c r="H33" s="99"/>
      <c r="I33" s="99"/>
      <c r="J33" s="99"/>
      <c r="K33" s="99"/>
      <c r="M33" s="11"/>
      <c r="N33" s="12">
        <f>O33/D46</f>
        <v>1</v>
      </c>
      <c r="O33" s="13">
        <f>D46</f>
        <v>414</v>
      </c>
      <c r="P33" s="46">
        <f>D13</f>
        <v>0.0035</v>
      </c>
      <c r="Q33" s="62">
        <f>P33*(D46-O33)/O33</f>
        <v>0</v>
      </c>
      <c r="R33" s="35">
        <f>P33*(D43-O33)/O33</f>
        <v>-0.0031956521739130435</v>
      </c>
      <c r="S33" s="15">
        <f>0.85*D1</f>
        <v>13.228124999999999</v>
      </c>
      <c r="T33" s="15">
        <f>Q33*D31</f>
        <v>0</v>
      </c>
      <c r="U33" s="15">
        <f>MAX(R33*D31,-D5)</f>
        <v>-326.0869565217392</v>
      </c>
      <c r="V33" s="37">
        <f>(S33*D52*(MIN(D49,0.8*O33))-((D38*T33)+(D36*U33)))</f>
        <v>2176302.3586956523</v>
      </c>
      <c r="W33" s="37">
        <f>((S33*D52*(MIN(D49,0.8*O33))*((0.5*(D46+D40))-(MIN(D49/2,0.4*O33)))+(((D38*T33)-(D36*U33))*0.5*(D46-D43))))</f>
        <v>155812186.19347823</v>
      </c>
      <c r="X33" s="20">
        <f t="shared" si="0"/>
        <v>2176.3023586956524</v>
      </c>
      <c r="Y33" s="21">
        <f t="shared" si="1"/>
        <v>155.81218619347823</v>
      </c>
    </row>
    <row r="34" spans="1:25" ht="12.75">
      <c r="A34" s="177"/>
      <c r="B34" s="139"/>
      <c r="C34" s="198"/>
      <c r="D34" s="182"/>
      <c r="E34" s="99"/>
      <c r="F34" s="99"/>
      <c r="G34" s="99"/>
      <c r="H34" s="99"/>
      <c r="I34" s="99"/>
      <c r="J34" s="99"/>
      <c r="K34" s="99"/>
      <c r="M34" s="10">
        <v>5</v>
      </c>
      <c r="N34" s="2">
        <v>1.05</v>
      </c>
      <c r="O34" s="7">
        <f>N34*D46</f>
        <v>434.70000000000005</v>
      </c>
      <c r="P34" s="47">
        <f>D13</f>
        <v>0.0035</v>
      </c>
      <c r="Q34" s="48">
        <f>P34*(D46-O34)/O34</f>
        <v>-0.00016666666666666704</v>
      </c>
      <c r="R34" s="48">
        <f>P34*(D43-O34)/O34</f>
        <v>-0.0032101449275362317</v>
      </c>
      <c r="S34" s="39">
        <f>0.85*D1</f>
        <v>13.228124999999999</v>
      </c>
      <c r="T34" s="39">
        <f>Q34*D31</f>
        <v>-34.333333333333414</v>
      </c>
      <c r="U34" s="39">
        <f>MAX(R34*D31,-D5)</f>
        <v>-326.0869565217392</v>
      </c>
      <c r="V34" s="45">
        <f>(S34*D52*(MIN(D49,0.8*O34))-((D38*T34)+(D36*U34)))</f>
        <v>2296439.6795289856</v>
      </c>
      <c r="W34" s="45">
        <f>((S34*D52*(MIN(D49,0.8*O34))*((0.5*(D46+D40))-(MIN(D49/2,0.4*O34)))+(((D38*T34)-(D36*U34))*0.5*(D46-D43))))</f>
        <v>140452115.1444782</v>
      </c>
      <c r="X34" s="18">
        <f t="shared" si="0"/>
        <v>2296.439679528986</v>
      </c>
      <c r="Y34" s="19">
        <f t="shared" si="1"/>
        <v>140.4521151444782</v>
      </c>
    </row>
    <row r="35" spans="1:25" ht="13.5" thickBot="1">
      <c r="A35" s="178"/>
      <c r="B35" s="140"/>
      <c r="C35" s="199"/>
      <c r="D35" s="183"/>
      <c r="E35" s="99"/>
      <c r="F35" s="99"/>
      <c r="G35" s="99"/>
      <c r="H35" s="99"/>
      <c r="I35" s="99"/>
      <c r="J35" s="99"/>
      <c r="K35" s="99"/>
      <c r="M35" s="11"/>
      <c r="N35" s="14">
        <f>O35/D46</f>
        <v>1.0869565217391304</v>
      </c>
      <c r="O35" s="13">
        <f>D49</f>
        <v>450</v>
      </c>
      <c r="P35" s="81">
        <f>D13</f>
        <v>0.0035</v>
      </c>
      <c r="Q35" s="35">
        <f>P35*(D46-O35)/O35</f>
        <v>-0.00028</v>
      </c>
      <c r="R35" s="35">
        <f>P35*(D43-O35)/O35</f>
        <v>-0.00322</v>
      </c>
      <c r="S35" s="15">
        <f>0.85*D1</f>
        <v>13.228124999999999</v>
      </c>
      <c r="T35" s="15">
        <f>Q35*D31</f>
        <v>-57.67999999999999</v>
      </c>
      <c r="U35" s="15">
        <f>MAX(R35*D31,-D5)</f>
        <v>-326.0869565217392</v>
      </c>
      <c r="V35" s="37">
        <f>(S35*D52*(MIN(D49,0.8*O35))-((D38*T35)+(D36*U35)))</f>
        <v>2383961.898695652</v>
      </c>
      <c r="W35" s="37">
        <f>((S35*D52*(MIN(D49,0.8*O35))*((0.5*(D46+D40))-(MIN(D49/2,0.4*O35)))+(((D38*T35)-(D36*U35))*0.5*(D46-D43))))</f>
        <v>128290789.73347826</v>
      </c>
      <c r="X35" s="20">
        <f t="shared" si="0"/>
        <v>2383.961898695652</v>
      </c>
      <c r="Y35" s="21">
        <f t="shared" si="1"/>
        <v>128.29078973347825</v>
      </c>
    </row>
    <row r="36" spans="1:25" ht="12.75">
      <c r="A36" s="176" t="s">
        <v>6</v>
      </c>
      <c r="B36" s="143" t="s">
        <v>31</v>
      </c>
      <c r="C36" s="143" t="s">
        <v>18</v>
      </c>
      <c r="D36" s="193">
        <v>628</v>
      </c>
      <c r="E36" s="99"/>
      <c r="F36" s="99"/>
      <c r="G36" s="99"/>
      <c r="H36" s="99"/>
      <c r="I36" s="99"/>
      <c r="J36" s="99"/>
      <c r="K36" s="99"/>
      <c r="M36" s="120">
        <v>6</v>
      </c>
      <c r="N36" s="8">
        <v>1.1</v>
      </c>
      <c r="O36" s="16">
        <f>N36*D46</f>
        <v>455.40000000000003</v>
      </c>
      <c r="P36" s="34">
        <f>D16*O36/(O36-((3/7)*D49))</f>
        <v>0.003469147894221351</v>
      </c>
      <c r="Q36" s="34">
        <f>-(D16-((D46-((3/7)*D49))*(P36-D16)/((3/7)*D49)))</f>
        <v>-0.0003153770812928504</v>
      </c>
      <c r="R36" s="34">
        <f>-(((P36-D16)*(((3/7)*D49)-D43)/((3/7)*D49))+D16)</f>
        <v>-0.003194906953966699</v>
      </c>
      <c r="S36" s="39">
        <f>0.85*D1</f>
        <v>13.228124999999999</v>
      </c>
      <c r="T36" s="31">
        <f>MAX(Q36*D31,-D8)</f>
        <v>-64.96767874632718</v>
      </c>
      <c r="U36" s="39">
        <f>MAX(R36*D31,-D5)</f>
        <v>-326.0869565217392</v>
      </c>
      <c r="V36" s="45">
        <f>(S36*D52*(MIN(D49,0.8*O36))-((D38*T36)+(D36*U36)))</f>
        <v>2414254.035948346</v>
      </c>
      <c r="W36" s="45">
        <f>((S36*D52*(MIN(D49,0.8*O36))*((0.5*(D46+D40))-(MIN(D49/2,0.4*O36)))+(((D38*T36)-(D36*U36))*0.5*(D46-D43))))</f>
        <v>123898666.01671916</v>
      </c>
      <c r="X36" s="18">
        <f t="shared" si="0"/>
        <v>2414.254035948346</v>
      </c>
      <c r="Y36" s="19">
        <f t="shared" si="1"/>
        <v>123.89866601671916</v>
      </c>
    </row>
    <row r="37" spans="1:25" ht="12.75">
      <c r="A37" s="187"/>
      <c r="B37" s="158"/>
      <c r="C37" s="144"/>
      <c r="D37" s="191"/>
      <c r="E37" s="99"/>
      <c r="F37" s="99"/>
      <c r="G37" s="99"/>
      <c r="H37" s="99"/>
      <c r="I37" s="99"/>
      <c r="J37" s="99"/>
      <c r="K37" s="99"/>
      <c r="M37" s="120"/>
      <c r="N37" s="8">
        <v>1.2</v>
      </c>
      <c r="O37" s="16">
        <f>N37*D46</f>
        <v>496.79999999999995</v>
      </c>
      <c r="P37" s="34">
        <f>D16*O37/(O37-((3/7)*D49))</f>
        <v>0.003269035532994924</v>
      </c>
      <c r="Q37" s="34">
        <f>-(D16-((D46-((3/7)*D49))*(P37-D16)/((3/7)*D49)))</f>
        <v>-0.0005448392554991536</v>
      </c>
      <c r="R37" s="34">
        <f>-(((P37-D16)*(((3/7)*D49)-D43)/((3/7)*D49))+D16)</f>
        <v>-0.003032148900169205</v>
      </c>
      <c r="S37" s="39">
        <f>0.85*D1</f>
        <v>13.228124999999999</v>
      </c>
      <c r="T37" s="31">
        <f>MAX(Q37*D31,-D8)</f>
        <v>-112.23688663282564</v>
      </c>
      <c r="U37" s="39">
        <f>MAX(R37*D31,-D5)</f>
        <v>-326.0869565217392</v>
      </c>
      <c r="V37" s="45">
        <f>(S37*D52*(MIN(D49,0.8*O37))-((D38*T37)+(D36*U37)))</f>
        <v>2641091.0735010663</v>
      </c>
      <c r="W37" s="45">
        <f>((S37*D52*(MIN(D49,0.8*O37))*((0.5*(D46+D40))-(MIN(D49/2,0.4*O37)))+(((D38*T37)-(D36*U37))*0.5*(D46-D43))))</f>
        <v>87556139.33125493</v>
      </c>
      <c r="X37" s="18">
        <f t="shared" si="0"/>
        <v>2641.091073501066</v>
      </c>
      <c r="Y37" s="19">
        <f t="shared" si="1"/>
        <v>87.55613933125493</v>
      </c>
    </row>
    <row r="38" spans="1:25" ht="12.75">
      <c r="A38" s="187"/>
      <c r="B38" s="158"/>
      <c r="C38" s="158" t="s">
        <v>2</v>
      </c>
      <c r="D38" s="182">
        <v>628</v>
      </c>
      <c r="E38" s="99"/>
      <c r="F38" s="99"/>
      <c r="G38" s="99"/>
      <c r="H38" s="99"/>
      <c r="I38" s="99"/>
      <c r="J38" s="99"/>
      <c r="K38" s="99"/>
      <c r="M38" s="120"/>
      <c r="N38" s="8">
        <v>1.3</v>
      </c>
      <c r="O38" s="16">
        <f>N38*D46</f>
        <v>538.2</v>
      </c>
      <c r="P38" s="34">
        <f>D16*O38/(O38-((3/7)*D49))</f>
        <v>0.0031169024571854054</v>
      </c>
      <c r="Q38" s="34">
        <f>-(D16-((D46-((3/7)*D49))*(P38-D16)/((3/7)*D49)))</f>
        <v>-0.0007192851824274016</v>
      </c>
      <c r="R38" s="34">
        <f>-(((P38-D16)*(((3/7)*D49)-D43)/((3/7)*D49))+D16)</f>
        <v>-0.0029084139985107965</v>
      </c>
      <c r="S38" s="39">
        <f>0.85*D1</f>
        <v>13.228124999999999</v>
      </c>
      <c r="T38" s="31">
        <f>MAX(Q38*D31,-D8)</f>
        <v>-148.17274758004473</v>
      </c>
      <c r="U38" s="39">
        <f>MAX(R38*D31,-D5)</f>
        <v>-326.0869565217392</v>
      </c>
      <c r="V38" s="45">
        <f>(S38*D52*(MIN(D49,0.8*O38))-((D38*T38)+(D36*U38)))</f>
        <v>2860810.76917592</v>
      </c>
      <c r="W38" s="45">
        <f>((S38*D52*(MIN(D49,0.8*O38))*((0.5*(D46+D40))-(MIN(D49/2,0.4*O38)))+(((D38*T38)-(D36*U38))*0.5*(D46-D43))))</f>
        <v>46029116.84870753</v>
      </c>
      <c r="X38" s="18">
        <f t="shared" si="0"/>
        <v>2860.81076917592</v>
      </c>
      <c r="Y38" s="19">
        <f t="shared" si="1"/>
        <v>46.029116848707524</v>
      </c>
    </row>
    <row r="39" spans="1:25" ht="13.5" thickBot="1">
      <c r="A39" s="187"/>
      <c r="B39" s="194"/>
      <c r="C39" s="194"/>
      <c r="D39" s="163"/>
      <c r="E39" s="99"/>
      <c r="F39" s="99"/>
      <c r="G39" s="99"/>
      <c r="H39" s="99"/>
      <c r="I39" s="99"/>
      <c r="J39" s="99"/>
      <c r="K39" s="99"/>
      <c r="M39" s="120"/>
      <c r="N39" s="49">
        <f>O39/D46</f>
        <v>1.358695652173913</v>
      </c>
      <c r="O39" s="50">
        <f>D49/0.8</f>
        <v>562.5</v>
      </c>
      <c r="P39" s="40">
        <f>D16*O39/(O39-((3/7)*D49))</f>
        <v>0.003043478260869565</v>
      </c>
      <c r="Q39" s="40">
        <f>-(D16-((D46-((3/7)*D49))*(P39-D16)/((3/7)*D49)))</f>
        <v>-0.0008034782608695649</v>
      </c>
      <c r="R39" s="40">
        <f>-(((P39-D16)*(((3/7)*D49)-D43)/((3/7)*D49))+D16)</f>
        <v>-0.002848695652173913</v>
      </c>
      <c r="S39" s="41">
        <f>0.85*D1</f>
        <v>13.228124999999999</v>
      </c>
      <c r="T39" s="41">
        <f>MAX(Q39*D31,-D8)</f>
        <v>-165.51652173913038</v>
      </c>
      <c r="U39" s="41">
        <f>MAX(R39*D31,-D5)</f>
        <v>-326.0869565217392</v>
      </c>
      <c r="V39" s="42">
        <f>(S39*D52*(MIN(D49,0.8*O39))-((D38*T39)+(D36*U39)))</f>
        <v>2987422.296847826</v>
      </c>
      <c r="W39" s="42">
        <f>((S39*D52*(MIN(D49,0.8*O39))*((0.5*(D46+D40))-(MIN(D49/2,0.4*O39)))+(((D38*T39)-(D36*U39))*0.5*(D46-D43))))</f>
        <v>19058426.045217406</v>
      </c>
      <c r="X39" s="43">
        <f t="shared" si="0"/>
        <v>2987.4222968478257</v>
      </c>
      <c r="Y39" s="44">
        <f t="shared" si="1"/>
        <v>19.058426045217406</v>
      </c>
    </row>
    <row r="40" spans="1:25" ht="13.5" thickTop="1">
      <c r="A40" s="187"/>
      <c r="B40" s="153" t="s">
        <v>11</v>
      </c>
      <c r="C40" s="153" t="s">
        <v>32</v>
      </c>
      <c r="D40" s="192">
        <v>36</v>
      </c>
      <c r="E40" s="99"/>
      <c r="F40" s="99"/>
      <c r="G40" s="99"/>
      <c r="H40" s="99"/>
      <c r="I40" s="99"/>
      <c r="J40" s="99"/>
      <c r="K40" s="99"/>
      <c r="M40" s="120"/>
      <c r="N40" s="8">
        <v>1.5</v>
      </c>
      <c r="O40" s="16">
        <f>N40*D46</f>
        <v>621</v>
      </c>
      <c r="P40" s="34">
        <f>D16*O40/(O40-((3/7)*D49))</f>
        <v>0.002900900900900901</v>
      </c>
      <c r="Q40" s="34">
        <f>-(D16-((D46-((3/7)*D49))*(P40-D16)/((3/7)*D49)))</f>
        <v>-0.0009669669669669669</v>
      </c>
      <c r="R40" s="34">
        <f>-(((P40-D16)*(((3/7)*D49)-D43)/((3/7)*D49))+D16)</f>
        <v>-0.002732732732732733</v>
      </c>
      <c r="S40" s="39">
        <f>0.85*D1</f>
        <v>13.228124999999999</v>
      </c>
      <c r="T40" s="31">
        <f>MAX(Q40*D31,-D8)</f>
        <v>-199.19519519519517</v>
      </c>
      <c r="U40" s="39">
        <f>MAX(R40*D31,-D5)</f>
        <v>-326.0869565217392</v>
      </c>
      <c r="V40" s="45">
        <f>(S40*D52*(MIN(D49,0.8*O40))-((D38*T40)+(D36*U40)))</f>
        <v>3008572.503778234</v>
      </c>
      <c r="W40" s="45">
        <f>((S40*D52*(MIN(D49,0.8*O40))*((0.5*(D46+D40))-(MIN(D49/2,0.4*O40)))+(((D38*T40)-(D36*U40))*0.5*(D46-D43))))</f>
        <v>15061036.935370166</v>
      </c>
      <c r="X40" s="18">
        <f t="shared" si="0"/>
        <v>3008.572503778234</v>
      </c>
      <c r="Y40" s="19">
        <f t="shared" si="1"/>
        <v>15.061036935370165</v>
      </c>
    </row>
    <row r="41" spans="1:25" ht="12.75">
      <c r="A41" s="187"/>
      <c r="B41" s="154"/>
      <c r="C41" s="139"/>
      <c r="D41" s="182"/>
      <c r="E41" s="99"/>
      <c r="F41" s="99"/>
      <c r="G41" s="99"/>
      <c r="H41" s="99"/>
      <c r="I41" s="99"/>
      <c r="J41" s="99"/>
      <c r="K41" s="99"/>
      <c r="M41" s="120"/>
      <c r="N41" s="9">
        <v>2.5</v>
      </c>
      <c r="O41" s="16">
        <f>N41*D46</f>
        <v>1035</v>
      </c>
      <c r="P41" s="34">
        <f>D16*O41/(O41-((3/7)*D49))</f>
        <v>0.0024580152671755725</v>
      </c>
      <c r="Q41" s="34">
        <f>-(D16-((D46-((3/7)*D49))*(P41-D16)/((3/7)*D49)))</f>
        <v>-0.0014748091603053435</v>
      </c>
      <c r="R41" s="34">
        <f>-(((P41-D16)*(((3/7)*D49)-D43)/((3/7)*D49))+D16)</f>
        <v>-0.0023725190839694655</v>
      </c>
      <c r="S41" s="39">
        <f>0.85*D1</f>
        <v>13.228124999999999</v>
      </c>
      <c r="T41" s="31">
        <f>MAX(Q41*D31,-D8)</f>
        <v>-303.81068702290077</v>
      </c>
      <c r="U41" s="39">
        <f>MAX(R41*D31,-D5)</f>
        <v>-326.0869565217392</v>
      </c>
      <c r="V41" s="45">
        <f>(S41*D52*(MIN(D49,0.8*O41))-((D38*T41)+(D36*U41)))</f>
        <v>3074271.0326460334</v>
      </c>
      <c r="W41" s="45">
        <f>((S41*D52*(MIN(D49,0.8*O41))*((0.5*(D46+D40))-(MIN(D49/2,0.4*O41)))+(((D38*T41)-(D36*U41))*0.5*(D46-D43))))</f>
        <v>2644014.9793561297</v>
      </c>
      <c r="X41" s="18">
        <f t="shared" si="0"/>
        <v>3074.2710326460333</v>
      </c>
      <c r="Y41" s="19">
        <f t="shared" si="1"/>
        <v>2.64401497935613</v>
      </c>
    </row>
    <row r="42" spans="1:25" ht="12.75">
      <c r="A42" s="187"/>
      <c r="B42" s="154"/>
      <c r="C42" s="156"/>
      <c r="D42" s="191"/>
      <c r="E42" s="99"/>
      <c r="F42" s="99"/>
      <c r="G42" s="25"/>
      <c r="H42" s="25"/>
      <c r="I42" s="25"/>
      <c r="J42" s="99"/>
      <c r="K42" s="99"/>
      <c r="M42" s="120"/>
      <c r="N42" s="9">
        <v>3</v>
      </c>
      <c r="O42" s="16">
        <f>N42*D46</f>
        <v>1242</v>
      </c>
      <c r="P42" s="34">
        <f>D16*O42/(O42-((3/7)*D49))</f>
        <v>0.0023676470588235294</v>
      </c>
      <c r="Q42" s="34">
        <f>-(D16-((D46-((3/7)*D49))*(P42-D16)/((3/7)*D49)))</f>
        <v>-0.0015784313725490196</v>
      </c>
      <c r="R42" s="34">
        <f>-(((P42-D16)*(((3/7)*D49)-D43)/((3/7)*D49))+D16)</f>
        <v>-0.002299019607843137</v>
      </c>
      <c r="S42" s="39">
        <f>0.85*D1</f>
        <v>13.228124999999999</v>
      </c>
      <c r="T42" s="31">
        <f>MAX(Q42*D31,-D8)</f>
        <v>-325.156862745098</v>
      </c>
      <c r="U42" s="39">
        <f>MAX(R42*D31,-D5)</f>
        <v>-326.0869565217392</v>
      </c>
      <c r="V42" s="45">
        <f>(S42*D52*(MIN(D49,0.8*O42))-((D38*T42)+(D36*U42)))</f>
        <v>3087676.4309995733</v>
      </c>
      <c r="W42" s="45">
        <f>((S42*D52*(MIN(D49,0.8*O42))*((0.5*(D46+D40))-(MIN(D49/2,0.4*O42)))+(((D38*T42)-(D36*U42))*0.5*(D46-D43))))</f>
        <v>110394.69053709894</v>
      </c>
      <c r="X42" s="18">
        <f t="shared" si="0"/>
        <v>3087.6764309995733</v>
      </c>
      <c r="Y42" s="19">
        <f t="shared" si="1"/>
        <v>0.11039469053709894</v>
      </c>
    </row>
    <row r="43" spans="1:25" ht="12.75">
      <c r="A43" s="187"/>
      <c r="B43" s="154"/>
      <c r="C43" s="138" t="s">
        <v>4</v>
      </c>
      <c r="D43" s="162">
        <v>36</v>
      </c>
      <c r="E43" s="99"/>
      <c r="F43" s="99"/>
      <c r="G43" s="25"/>
      <c r="H43" s="25"/>
      <c r="I43" s="25"/>
      <c r="J43" s="99"/>
      <c r="K43" s="99"/>
      <c r="M43" s="120"/>
      <c r="N43" s="51">
        <f>O43/D46</f>
        <v>3.0274348077551734</v>
      </c>
      <c r="O43" s="71">
        <f>(P43*(3/7)*D49)/(P43-D16)</f>
        <v>1253.3580104106418</v>
      </c>
      <c r="P43" s="34">
        <f>((-Q43*(3/7)*D49)-(D16*D46))/((3/7)*D49-D46)</f>
        <v>0.0023637095428352657</v>
      </c>
      <c r="Q43" s="61">
        <f>-D28</f>
        <v>-0.001582946390882229</v>
      </c>
      <c r="R43" s="34">
        <f>-(((P43-D16)*((3/7)*D49-D43))/((3/7)*D49)+D16)</f>
        <v>-0.0022958170948393494</v>
      </c>
      <c r="S43" s="39">
        <f>0.85*D1</f>
        <v>13.228124999999999</v>
      </c>
      <c r="T43" s="31">
        <f>MAX(Q43*D31,-D8)</f>
        <v>-326.0869565217392</v>
      </c>
      <c r="U43" s="39">
        <f>MAX(R43*D31,-D5)</f>
        <v>-326.0869565217392</v>
      </c>
      <c r="V43" s="45">
        <f>(S43*D52*(MIN(D49,0.8*O43))-((D38*T43)+(D36*U43)))</f>
        <v>3088260.5298913037</v>
      </c>
      <c r="W43" s="45">
        <f>((S43*D52*(MIN(D49,0.8*O43))*((0.5*(D46+D40))-(MIN(D49/2,0.4*O43)))+(((D38*T43)-(D36*U43))*0.5*(D46-D43))))</f>
        <v>0</v>
      </c>
      <c r="X43" s="18">
        <f>V43/1000</f>
        <v>3088.2605298913036</v>
      </c>
      <c r="Y43" s="19">
        <f>W43/POWER(1000,2)</f>
        <v>0</v>
      </c>
    </row>
    <row r="44" spans="1:25" ht="12.75">
      <c r="A44" s="187"/>
      <c r="B44" s="154"/>
      <c r="C44" s="154"/>
      <c r="D44" s="189"/>
      <c r="E44" s="25"/>
      <c r="F44" s="25"/>
      <c r="G44" s="99"/>
      <c r="H44" s="99"/>
      <c r="I44" s="99"/>
      <c r="J44" s="25"/>
      <c r="K44" s="25"/>
      <c r="M44" s="120"/>
      <c r="N44" s="9">
        <v>3.5</v>
      </c>
      <c r="O44" s="16">
        <f>N44*D46</f>
        <v>1449</v>
      </c>
      <c r="P44" s="34">
        <f>D16*O44/(O44-((3/7)*D49))</f>
        <v>0.0023070624360286593</v>
      </c>
      <c r="Q44" s="34">
        <f>-(D16-((D46-((3/7)*D49))*(P44-D16)/((3/7)*D49)))</f>
        <v>-0.0016479017400204707</v>
      </c>
      <c r="R44" s="34">
        <f>-(((P44-D16)*(((3/7)*D49)-D43)/((3/7)*D49))+D16)</f>
        <v>-0.0022497441146366428</v>
      </c>
      <c r="S44" s="39">
        <f>0.85*D1</f>
        <v>13.228124999999999</v>
      </c>
      <c r="T44" s="31">
        <f>MAX(Q44*D31,-D8)</f>
        <v>-326.0869565217392</v>
      </c>
      <c r="U44" s="39">
        <f>MAX(R44*D31,-D5)</f>
        <v>-326.0869565217392</v>
      </c>
      <c r="V44" s="45">
        <f>(S44*D52*(MIN(D49,0.8*O44))-((D38*T44)+(D36*U44)))</f>
        <v>3088260.5298913037</v>
      </c>
      <c r="W44" s="45">
        <f>((S44*D52*(MIN(D49,0.8*O44))*((0.5*(D46+D40))-(MIN(D49/2,0.4*O44)))+(((D38*T44)-(D36*U44))*0.5*(D46-D43))))</f>
        <v>0</v>
      </c>
      <c r="X44" s="18">
        <f t="shared" si="0"/>
        <v>3088.2605298913036</v>
      </c>
      <c r="Y44" s="19">
        <f t="shared" si="1"/>
        <v>0</v>
      </c>
    </row>
    <row r="45" spans="1:25" ht="13.5" thickBot="1">
      <c r="A45" s="187"/>
      <c r="B45" s="154"/>
      <c r="C45" s="157"/>
      <c r="D45" s="190"/>
      <c r="E45" s="25"/>
      <c r="F45" s="25"/>
      <c r="G45" s="99"/>
      <c r="H45" s="99"/>
      <c r="I45" s="99"/>
      <c r="J45" s="25"/>
      <c r="K45" s="25"/>
      <c r="M45" s="73"/>
      <c r="N45" s="74">
        <f>O45/D49</f>
        <v>2222.22</v>
      </c>
      <c r="O45" s="75">
        <v>999999</v>
      </c>
      <c r="P45" s="117">
        <f>D16*O45/(O45-((3/7)*D49))</f>
        <v>0.0020003857890736818</v>
      </c>
      <c r="Q45" s="115">
        <f>-P45</f>
        <v>-0.0020003857890736818</v>
      </c>
      <c r="R45" s="116">
        <f>Q45</f>
        <v>-0.0020003857890736818</v>
      </c>
      <c r="S45" s="77">
        <f>0.85*D1</f>
        <v>13.228124999999999</v>
      </c>
      <c r="T45" s="77">
        <f>MAX(Q45*D31,-D8)</f>
        <v>-326.0869565217392</v>
      </c>
      <c r="U45" s="77">
        <f>MAX(R45*D31,-D8)</f>
        <v>-326.0869565217392</v>
      </c>
      <c r="V45" s="78">
        <f>(S45*D52*(MIN(D49,0.8*O45))-((D38*T45)+(D36*U45)))</f>
        <v>3088260.5298913037</v>
      </c>
      <c r="W45" s="78">
        <f>((S45*D52*(MIN(D49,0.8*O45))*((0.5*(D46+D40))-(MIN(D49/2,0.4*O45)))+(((D38*T45)-(D36*U45))*0.5*(D46-D43))))</f>
        <v>0</v>
      </c>
      <c r="X45" s="79">
        <f t="shared" si="0"/>
        <v>3088.2605298913036</v>
      </c>
      <c r="Y45" s="80">
        <f t="shared" si="1"/>
        <v>0</v>
      </c>
    </row>
    <row r="46" spans="1:25" ht="12.75">
      <c r="A46" s="187"/>
      <c r="B46" s="154"/>
      <c r="C46" s="158" t="s">
        <v>3</v>
      </c>
      <c r="D46" s="182">
        <f>D49-D40</f>
        <v>414</v>
      </c>
      <c r="E46" s="99"/>
      <c r="F46" s="99"/>
      <c r="G46" s="99"/>
      <c r="H46" s="99"/>
      <c r="I46" s="99"/>
      <c r="J46" s="99"/>
      <c r="K46" s="99"/>
      <c r="M46" s="22"/>
      <c r="Y46" s="9"/>
    </row>
    <row r="47" spans="1:25" ht="12.75">
      <c r="A47" s="187"/>
      <c r="B47" s="154"/>
      <c r="C47" s="158"/>
      <c r="D47" s="182"/>
      <c r="E47" s="99"/>
      <c r="F47" s="99"/>
      <c r="G47" s="99"/>
      <c r="H47" s="99"/>
      <c r="I47" s="99"/>
      <c r="J47" s="99"/>
      <c r="K47" s="99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9"/>
    </row>
    <row r="48" spans="1:25" ht="13.5" thickBot="1">
      <c r="A48" s="187"/>
      <c r="B48" s="154"/>
      <c r="C48" s="158"/>
      <c r="D48" s="182"/>
      <c r="E48" s="99"/>
      <c r="F48" s="99"/>
      <c r="G48" s="99"/>
      <c r="H48" s="99"/>
      <c r="I48" s="99"/>
      <c r="J48" s="99"/>
      <c r="K48" s="99"/>
      <c r="M48" s="119" t="s">
        <v>44</v>
      </c>
      <c r="N48" s="119"/>
      <c r="O48" s="119"/>
      <c r="P48" s="119"/>
      <c r="Q48" s="119"/>
      <c r="R48" s="119"/>
      <c r="S48" s="25"/>
      <c r="T48" s="25"/>
      <c r="U48" s="25"/>
      <c r="V48" s="25"/>
      <c r="W48" s="25"/>
      <c r="X48" s="64"/>
      <c r="Y48" s="9"/>
    </row>
    <row r="49" spans="1:25" ht="12.75">
      <c r="A49" s="187"/>
      <c r="B49" s="154"/>
      <c r="C49" s="159" t="s">
        <v>1</v>
      </c>
      <c r="D49" s="162">
        <v>450</v>
      </c>
      <c r="E49" s="99"/>
      <c r="F49" s="99"/>
      <c r="G49" s="99"/>
      <c r="H49" s="99"/>
      <c r="I49" s="99"/>
      <c r="J49" s="99"/>
      <c r="K49" s="99"/>
      <c r="M49" s="22"/>
      <c r="N49" s="69"/>
      <c r="O49" s="69"/>
      <c r="P49" s="25"/>
      <c r="Q49" s="25"/>
      <c r="R49" s="25"/>
      <c r="S49" s="135">
        <v>1</v>
      </c>
      <c r="T49" s="131" t="s">
        <v>42</v>
      </c>
      <c r="U49" s="132"/>
      <c r="V49" s="105">
        <f>(0.85*(0.83*D3)/(1.25*1.6))*D52*D49-(-D8*D38)-(-D5*D36)</f>
        <v>2552521.4673913047</v>
      </c>
      <c r="W49" s="76">
        <v>0</v>
      </c>
      <c r="X49" s="90">
        <f>V49/1000</f>
        <v>2552.5214673913047</v>
      </c>
      <c r="Y49" s="93">
        <f t="shared" si="1"/>
        <v>0</v>
      </c>
    </row>
    <row r="50" spans="1:25" ht="15.75">
      <c r="A50" s="187"/>
      <c r="B50" s="154"/>
      <c r="C50" s="158"/>
      <c r="D50" s="182"/>
      <c r="E50" s="99"/>
      <c r="F50" s="99"/>
      <c r="G50" s="99"/>
      <c r="H50" s="99"/>
      <c r="I50" s="99"/>
      <c r="J50" s="99"/>
      <c r="K50" s="99"/>
      <c r="M50" s="2"/>
      <c r="N50" s="2"/>
      <c r="O50" s="2"/>
      <c r="P50" s="25"/>
      <c r="Q50" s="25"/>
      <c r="R50" s="25"/>
      <c r="S50" s="136"/>
      <c r="T50" s="133" t="s">
        <v>43</v>
      </c>
      <c r="U50" s="134"/>
      <c r="V50" s="106">
        <f>V49</f>
        <v>2552521.4673913047</v>
      </c>
      <c r="W50" s="70">
        <v>200000000</v>
      </c>
      <c r="X50" s="91">
        <f>V50/1000</f>
        <v>2552.5214673913047</v>
      </c>
      <c r="Y50" s="94">
        <f t="shared" si="1"/>
        <v>200</v>
      </c>
    </row>
    <row r="51" spans="1:25" ht="12.75">
      <c r="A51" s="187"/>
      <c r="B51" s="154"/>
      <c r="C51" s="144"/>
      <c r="D51" s="191"/>
      <c r="E51" s="99"/>
      <c r="F51" s="99"/>
      <c r="G51" s="99"/>
      <c r="H51" s="99"/>
      <c r="I51" s="99"/>
      <c r="J51" s="99"/>
      <c r="K51" s="99"/>
      <c r="M51" s="2"/>
      <c r="N51" s="2"/>
      <c r="O51" s="2"/>
      <c r="P51" s="25"/>
      <c r="Q51" s="25"/>
      <c r="R51" s="25"/>
      <c r="S51" s="137">
        <v>2</v>
      </c>
      <c r="T51" s="127" t="s">
        <v>41</v>
      </c>
      <c r="U51" s="129">
        <f>MAX(D49/30,20)</f>
        <v>20</v>
      </c>
      <c r="V51" s="89">
        <v>0</v>
      </c>
      <c r="W51" s="89">
        <f>V51*U51</f>
        <v>0</v>
      </c>
      <c r="X51" s="92">
        <f>V51/1000</f>
        <v>0</v>
      </c>
      <c r="Y51" s="95">
        <f t="shared" si="1"/>
        <v>0</v>
      </c>
    </row>
    <row r="52" spans="1:25" ht="12.75">
      <c r="A52" s="187"/>
      <c r="B52" s="154"/>
      <c r="C52" s="158" t="s">
        <v>0</v>
      </c>
      <c r="D52" s="182">
        <v>450</v>
      </c>
      <c r="E52" s="99"/>
      <c r="F52" s="99"/>
      <c r="G52" s="99"/>
      <c r="H52" s="99"/>
      <c r="I52" s="99"/>
      <c r="J52" s="99"/>
      <c r="K52" s="99"/>
      <c r="M52" s="25"/>
      <c r="N52" s="25"/>
      <c r="O52" s="25"/>
      <c r="P52" s="25"/>
      <c r="Q52" s="25"/>
      <c r="R52" s="25"/>
      <c r="S52" s="136"/>
      <c r="T52" s="128"/>
      <c r="U52" s="130"/>
      <c r="V52" s="70">
        <v>3200000</v>
      </c>
      <c r="W52" s="70">
        <f>V52*U51</f>
        <v>64000000</v>
      </c>
      <c r="X52" s="91">
        <f>V52/1000</f>
        <v>3200</v>
      </c>
      <c r="Y52" s="94">
        <f t="shared" si="1"/>
        <v>64</v>
      </c>
    </row>
    <row r="53" spans="1:25" ht="15.75">
      <c r="A53" s="187"/>
      <c r="B53" s="154"/>
      <c r="C53" s="158"/>
      <c r="D53" s="182"/>
      <c r="E53" s="99"/>
      <c r="F53" s="99"/>
      <c r="J53" s="99"/>
      <c r="K53" s="99"/>
      <c r="M53" s="25"/>
      <c r="N53" s="25"/>
      <c r="O53" s="25"/>
      <c r="P53" s="25"/>
      <c r="Q53" s="25"/>
      <c r="R53" s="25"/>
      <c r="S53" s="88">
        <v>3</v>
      </c>
      <c r="T53" s="121" t="s">
        <v>45</v>
      </c>
      <c r="U53" s="122"/>
      <c r="V53" s="122"/>
      <c r="W53" s="122"/>
      <c r="X53" s="122"/>
      <c r="Y53" s="123"/>
    </row>
    <row r="54" spans="1:25" ht="13.5" thickBot="1">
      <c r="A54" s="188"/>
      <c r="B54" s="155"/>
      <c r="C54" s="195"/>
      <c r="D54" s="183"/>
      <c r="E54" s="99"/>
      <c r="F54" s="99"/>
      <c r="J54" s="99"/>
      <c r="K54" s="99"/>
      <c r="M54" s="25"/>
      <c r="N54" s="25"/>
      <c r="O54" s="25"/>
      <c r="P54" s="25"/>
      <c r="Q54" s="25"/>
      <c r="R54" s="25"/>
      <c r="S54" s="87">
        <v>4</v>
      </c>
      <c r="T54" s="124" t="s">
        <v>46</v>
      </c>
      <c r="U54" s="125"/>
      <c r="V54" s="125"/>
      <c r="W54" s="125"/>
      <c r="X54" s="125"/>
      <c r="Y54" s="126"/>
    </row>
  </sheetData>
  <mergeCells count="61">
    <mergeCell ref="T53:Y53"/>
    <mergeCell ref="T54:Y54"/>
    <mergeCell ref="T49:U49"/>
    <mergeCell ref="T50:U50"/>
    <mergeCell ref="D46:D48"/>
    <mergeCell ref="S51:S52"/>
    <mergeCell ref="T51:T52"/>
    <mergeCell ref="U51:U52"/>
    <mergeCell ref="M48:R48"/>
    <mergeCell ref="S49:S50"/>
    <mergeCell ref="B31:B35"/>
    <mergeCell ref="C31:C35"/>
    <mergeCell ref="D31:D35"/>
    <mergeCell ref="M36:M44"/>
    <mergeCell ref="C38:C39"/>
    <mergeCell ref="D38:D39"/>
    <mergeCell ref="B40:B54"/>
    <mergeCell ref="C40:C42"/>
    <mergeCell ref="D40:D42"/>
    <mergeCell ref="C43:C45"/>
    <mergeCell ref="A36:A54"/>
    <mergeCell ref="B36:B39"/>
    <mergeCell ref="C36:C37"/>
    <mergeCell ref="D36:D37"/>
    <mergeCell ref="C52:C54"/>
    <mergeCell ref="D52:D54"/>
    <mergeCell ref="C49:C51"/>
    <mergeCell ref="D49:D51"/>
    <mergeCell ref="D43:D45"/>
    <mergeCell ref="C46:C48"/>
    <mergeCell ref="A1:A35"/>
    <mergeCell ref="C25:C27"/>
    <mergeCell ref="D25:D27"/>
    <mergeCell ref="M27:M32"/>
    <mergeCell ref="C28:C30"/>
    <mergeCell ref="D28:D30"/>
    <mergeCell ref="M9:M12"/>
    <mergeCell ref="C11:C12"/>
    <mergeCell ref="D11:D12"/>
    <mergeCell ref="B13:B30"/>
    <mergeCell ref="C13:C15"/>
    <mergeCell ref="D13:D15"/>
    <mergeCell ref="M14:M16"/>
    <mergeCell ref="C16:C18"/>
    <mergeCell ref="D16:D18"/>
    <mergeCell ref="M18:M25"/>
    <mergeCell ref="C19:C21"/>
    <mergeCell ref="D19:D21"/>
    <mergeCell ref="C22:C24"/>
    <mergeCell ref="D22:D24"/>
    <mergeCell ref="G1:I1"/>
    <mergeCell ref="C3:C4"/>
    <mergeCell ref="D3:D4"/>
    <mergeCell ref="M3:M7"/>
    <mergeCell ref="C5:C7"/>
    <mergeCell ref="D5:D7"/>
    <mergeCell ref="B1:B12"/>
    <mergeCell ref="C1:C2"/>
    <mergeCell ref="D1:D2"/>
    <mergeCell ref="C8:C10"/>
    <mergeCell ref="D8:D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elementi pressoinflessi</dc:title>
  <dc:subject>verifiche di resistenza</dc:subject>
  <dc:creator>Andrea Benedetti</dc:creator>
  <cp:keywords/>
  <dc:description/>
  <cp:lastModifiedBy>Andreon Giorgio</cp:lastModifiedBy>
  <cp:lastPrinted>2002-07-11T16:45:10Z</cp:lastPrinted>
  <dcterms:created xsi:type="dcterms:W3CDTF">2002-04-08T13:50:00Z</dcterms:created>
  <dcterms:modified xsi:type="dcterms:W3CDTF">2008-03-04T11:10:15Z</dcterms:modified>
  <cp:category/>
  <cp:version/>
  <cp:contentType/>
  <cp:contentStatus/>
</cp:coreProperties>
</file>